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Netz\Netzmanagement\Veröffentlichungspflichten\Homepage Netzbetrieb\Netzbetrieb Gas\Netzzugang\verfahrensspez-Parameter\"/>
    </mc:Choice>
  </mc:AlternateContent>
  <bookViews>
    <workbookView xWindow="29460" yWindow="0" windowWidth="28830" windowHeight="1551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7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66" i="18" l="1"/>
  <c r="H65" i="18" s="1"/>
  <c r="K21" i="18"/>
  <c r="J21" i="18"/>
  <c r="L21" i="18"/>
  <c r="E21" i="18" s="1"/>
  <c r="M21" i="18"/>
  <c r="G21" i="18"/>
  <c r="D56" i="18"/>
  <c r="J55" i="18" s="1"/>
  <c r="E31" i="18"/>
  <c r="K65" i="18"/>
  <c r="G65" i="18"/>
  <c r="N65" i="18"/>
  <c r="J65" i="18"/>
  <c r="I65" i="18"/>
  <c r="M65" i="18"/>
  <c r="F65" i="18"/>
  <c r="G55" i="18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K55" i="18" l="1"/>
  <c r="L65" i="18"/>
  <c r="E65" i="18" s="1"/>
  <c r="I55" i="18"/>
  <c r="E55" i="18" s="1"/>
  <c r="L5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23" i="7"/>
  <c r="X13" i="7"/>
  <c r="X11" i="7"/>
  <c r="X20" i="7"/>
  <c r="X19" i="7"/>
  <c r="X16" i="7"/>
  <c r="X15" i="7"/>
  <c r="X17" i="7"/>
  <c r="X24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12" i="7"/>
  <c r="H12" i="7"/>
  <c r="I11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4" i="7"/>
  <c r="Q23" i="7"/>
  <c r="Q16" i="7"/>
  <c r="Q21" i="7"/>
  <c r="Q22" i="7"/>
  <c r="Q19" i="7"/>
  <c r="Q14" i="7"/>
  <c r="Q17" i="7"/>
  <c r="C39" i="7"/>
  <c r="C27" i="7"/>
  <c r="C20" i="7"/>
  <c r="C14" i="7"/>
  <c r="C12" i="7"/>
  <c r="C19" i="7"/>
  <c r="C24" i="7"/>
  <c r="C29" i="7"/>
  <c r="C30" i="7"/>
  <c r="C16" i="7"/>
  <c r="C23" i="7"/>
  <c r="C26" i="7"/>
  <c r="C32" i="7"/>
  <c r="C15" i="7"/>
  <c r="C37" i="7"/>
  <c r="C34" i="7"/>
  <c r="C17" i="7"/>
  <c r="C31" i="7"/>
  <c r="C22" i="7"/>
  <c r="C36" i="7"/>
  <c r="C25" i="7"/>
  <c r="C28" i="7"/>
  <c r="C13" i="7"/>
  <c r="C18" i="7"/>
  <c r="C33" i="7"/>
  <c r="C21" i="7"/>
  <c r="C38" i="7"/>
  <c r="C35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<sst xmlns="http://schemas.openxmlformats.org/spreadsheetml/2006/main" count="1395" uniqueCount="682">
  <si>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</si>
  <si>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</si>
  <si>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</si>
  <si>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</si>
  <si>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</si>
  <si>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</si>
  <si>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</si>
  <si>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</si>
  <si>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</si>
  <si>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</si>
  <si>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</si>
  <si>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</si>
  <si>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</si>
  <si>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</si>
  <si>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</si>
  <si>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</si>
  <si>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</si>
  <si>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</si>
  <si>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</si>
  <si>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</si>
  <si>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</si>
  <si>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</si>
  <si>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</si>
  <si>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</si>
  <si>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</si>
  <si>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</si>
  <si>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</si>
  <si>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</si>
  <si>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</si>
  <si>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</si>
  <si>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</si>
  <si>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</si>
  <si>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</si>
  <si>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</si>
  <si>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</si>
  <si>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</si>
  <si>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</si>
  <si>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</si>
  <si>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</si>
  <si>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</si>
  <si>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</si>
  <si>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</si>
  <si>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</si>
  <si>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</si>
  <si>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</si>
  <si>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</si>
  <si>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</si>
  <si>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</si>
  <si>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</si>
  <si>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</si>
  <si>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</si>
  <si>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</si>
  <si>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</si>
  <si>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</si>
  <si>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</si>
  <si>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</si>
  <si>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</si>
  <si>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</si>
  <si>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</si>
  <si>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</si>
  <si>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</si>
  <si>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</si>
  <si>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</si>
  <si>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</si>
  <si>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</si>
  <si>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</si>
  <si>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</si>
  <si>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</si>
  <si>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</si>
  <si>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</si>
  <si>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</si>
  <si>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</si>
  <si>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</si>
  <si>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</si>
  <si>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</si>
  <si>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</si>
  <si>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</si>
  <si>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</si>
  <si>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</si>
  <si>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</si>
  <si>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</si>
  <si>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</si>
  <si>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</si>
  <si>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</si>
  <si>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</si>
  <si>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</si>
  <si>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</si>
  <si>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</si>
  <si>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</si>
  <si>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</si>
  <si>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</si>
  <si>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</si>
  <si>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</si>
  <si>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</si>
  <si>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</si>
  <si>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</si>
  <si>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</si>
  <si>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</si>
  <si>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</si>
  <si>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</si>
  <si>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</si>
  <si>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</si>
  <si>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</si>
  <si>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</si>
  <si>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</si>
  <si>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</si>
  <si>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</si>
  <si>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</si>
  <si>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</si>
  <si>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</si>
  <si>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</si>
  <si>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</si>
  <si>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</si>
  <si>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</si>
  <si>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</si>
  <si>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</si>
  <si>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</si>
  <si>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</si>
  <si>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</si>
  <si>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</si>
  <si>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</si>
  <si>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</si>
  <si>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</si>
  <si>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</si>
  <si>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</si>
  <si>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</si>
  <si>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</si>
  <si>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</si>
  <si>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</si>
  <si>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</si>
  <si>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</si>
  <si>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</si>
  <si>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</si>
  <si>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</si>
  <si>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</si>
  <si>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</si>
  <si>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</si>
  <si>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</si>
  <si>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</si>
  <si>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</si>
  <si>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</si>
  <si>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</si>
  <si>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</si>
  <si>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</si>
  <si>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</si>
  <si>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</si>
  <si>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</si>
  <si>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</si>
  <si>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</si>
  <si>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</si>
  <si>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</si>
  <si>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</si>
  <si>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</si>
  <si>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</si>
  <si>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</si>
  <si>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</si>
  <si>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</si>
  <si>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</si>
  <si>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</si>
  <si>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</si>
  <si>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</si>
  <si>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</si>
  <si>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</si>
  <si>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</si>
  <si>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</si>
  <si>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</si>
  <si>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</si>
  <si>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</si>
  <si>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</si>
  <si>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</si>
  <si>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</si>
  <si>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</si>
  <si>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</si>
  <si>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</si>
  <si>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</si>
  <si>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</si>
  <si>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</si>
  <si>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</si>
  <si>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</si>
  <si>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</si>
  <si>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</si>
  <si>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</si>
  <si>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</si>
  <si>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</si>
  <si>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</si>
  <si>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</si>
  <si>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</si>
  <si>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</si>
  <si>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</si>
  <si>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</si>
  <si>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</si>
  <si>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</si>
  <si>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</si>
  <si>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</si>
  <si>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</si>
  <si>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</si>
  <si>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</si>
  <si>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</si>
  <si>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</si>
  <si>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</si>
  <si>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</si>
  <si>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</si>
  <si>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</si>
  <si>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</si>
  <si>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</si>
  <si>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</si>
  <si>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</si>
  <si>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</si>
  <si>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</si>
  <si>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</si>
  <si>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</si>
  <si>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</si>
  <si>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</si>
  <si>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</si>
  <si>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</si>
  <si>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</si>
  <si>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</si>
  <si>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</si>
  <si>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</si>
  <si>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</si>
  <si>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</si>
  <si>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</si>
  <si>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</si>
  <si>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</si>
  <si>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</si>
  <si>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</si>
  <si>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</si>
  <si>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</si>
  <si>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</si>
  <si>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</si>
  <si>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</si>
  <si>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</si>
  <si>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</si>
  <si>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</si>
  <si>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</si>
  <si>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</si>
  <si>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</si>
  <si>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</si>
  <si>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</si>
  <si>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</si>
  <si>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</si>
  <si>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</si>
  <si>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</si>
  <si>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</si>
  <si>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</si>
  <si>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</si>
  <si>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</si>
  <si>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</si>
  <si>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</si>
  <si>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</si>
  <si>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</si>
  <si>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</si>
  <si>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</si>
  <si>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</si>
  <si>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</si>
  <si>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</si>
  <si>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</si>
  <si>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</si>
  <si>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</si>
  <si>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</si>
  <si>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</si>
  <si>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</si>
  <si>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</si>
  <si>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</si>
  <si>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</si>
  <si>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</si>
  <si>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</si>
  <si>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</si>
  <si>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</si>
  <si>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</si>
  <si>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</si>
  <si>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</si>
  <si>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</si>
  <si>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</si>
  <si>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</si>
  <si>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</si>
  <si>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</si>
  <si>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</si>
  <si>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</si>
  <si>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</si>
  <si>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</si>
  <si>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</si>
  <si>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</si>
  <si>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</si>
  <si>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</si>
  <si>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</si>
  <si>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</si>
  <si>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</si>
  <si>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</si>
  <si>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</si>
  <si>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</si>
  <si>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</si>
  <si>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</si>
  <si>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</si>
  <si>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</si>
  <si>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</si>
  <si>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</si>
  <si>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</si>
  <si>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</si>
  <si>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</si>
  <si>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</si>
  <si>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</si>
  <si>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</si>
  <si>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</si>
  <si>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</si>
  <si>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</si>
  <si>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</si>
  <si>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</si>
  <si>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</si>
  <si>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</si>
  <si>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</si>
  <si>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</si>
  <si>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</si>
  <si>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</si>
  <si>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</si>
  <si>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</si>
  <si>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</si>
  <si>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</si>
  <si>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</si>
  <si>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</si>
  <si>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</si>
  <si>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</si>
  <si>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</si>
  <si>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</si>
  <si>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</si>
  <si>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</si>
  <si>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</si>
  <si>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</si>
  <si>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</si>
  <si>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</si>
  <si>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</si>
  <si>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</si>
  <si>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</si>
  <si>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</si>
  <si>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</si>
  <si>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</si>
  <si>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</si>
  <si>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</si>
  <si>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</si>
  <si>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</si>
  <si>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</si>
  <si>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</si>
  <si>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</si>
  <si>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</si>
  <si>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</si>
  <si>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</si>
  <si>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</si>
  <si>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</si>
  <si>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</si>
  <si>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</si>
  <si>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</si>
  <si>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</si>
  <si>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</si>
  <si>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</si>
  <si>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</si>
  <si>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</si>
  <si>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</si>
  <si>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</si>
  <si>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</si>
  <si>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</si>
  <si>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</si>
  <si>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</si>
  <si>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</si>
  <si>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</si>
  <si>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</si>
  <si>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</si>
  <si>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</si>
  <si>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</si>
  <si>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</si>
  <si>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</si>
  <si>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</si>
  <si>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</si>
  <si>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</si>
  <si>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</si>
  <si>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</si>
  <si>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</si>
  <si>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</si>
  <si>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</si>
  <si>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</si>
  <si>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</si>
  <si>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</si>
  <si>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</si>
  <si>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</si>
  <si>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</si>
  <si>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</si>
  <si>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</si>
  <si>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</si>
  <si>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</si>
  <si>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</si>
  <si>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</si>
  <si>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</si>
  <si>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</si>
  <si>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</si>
  <si>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</si>
  <si>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</si>
  <si>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</si>
  <si>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</si>
  <si>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</si>
  <si>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</si>
  <si>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</si>
  <si>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</si>
  <si>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</si>
  <si>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</si>
  <si>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</si>
  <si>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</si>
  <si>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</si>
  <si>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</si>
  <si>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</si>
  <si>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</si>
  <si>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</si>
  <si>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</si>
  <si>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</si>
  <si>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</si>
  <si>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</si>
  <si>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</si>
  <si>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</si>
  <si>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</si>
  <si>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</si>
  <si>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</si>
  <si>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</si>
  <si>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</si>
  <si>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</si>
  <si>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</si>
  <si>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</si>
  <si>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</si>
  <si>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</si>
  <si>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</si>
  <si>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</si>
  <si>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</si>
  <si>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</si>
  <si>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</si>
  <si>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</si>
  <si>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</si>
  <si>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</si>
  <si>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</si>
  <si>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</si>
  <si>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</si>
  <si>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</si>
  <si>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</si>
  <si>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</si>
  <si>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</si>
  <si>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</si>
  <si>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</si>
  <si>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</si>
  <si>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</si>
  <si>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</si>
  <si>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</si>
  <si>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</si>
  <si>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</si>
  <si>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</si>
  <si>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</si>
  <si>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</si>
  <si>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</si>
  <si>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</si>
  <si>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</si>
  <si>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</si>
  <si>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</si>
  <si>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</si>
  <si>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</si>
  <si>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</si>
  <si>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</si>
  <si>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</si>
  <si>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</si>
  <si>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</si>
  <si>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</si>
  <si>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</si>
  <si>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</si>
  <si>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</si>
  <si>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</si>
  <si>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</si>
  <si>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</si>
  <si>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</si>
  <si>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</si>
  <si>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</si>
  <si>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</si>
  <si>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</si>
  <si>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</si>
  <si>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</si>
  <si>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</si>
  <si>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</si>
  <si>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</si>
  <si>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</si>
  <si>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</si>
  <si>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</si>
  <si>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</si>
  <si>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</si>
  <si>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</si>
  <si>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</si>
  <si>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</si>
  <si>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</si>
  <si>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</si>
  <si>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</si>
  <si>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</si>
  <si>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</si>
  <si>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</si>
  <si>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</si>
  <si>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</si>
  <si>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</si>
  <si>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</si>
  <si>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</si>
  <si>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</si>
  <si>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</si>
  <si>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</si>
  <si>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</si>
  <si>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</si>
  <si>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</si>
  <si>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</si>
  <si>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</si>
  <si>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</si>
  <si>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</si>
  <si>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</si>
  <si>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</si>
  <si>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</si>
  <si>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</si>
  <si>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</si>
  <si>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</si>
  <si>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</si>
  <si>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</si>
  <si>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</si>
  <si>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</si>
  <si>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</si>
  <si>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</si>
  <si>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</si>
  <si>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</si>
  <si>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</si>
  <si>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</si>
  <si>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</si>
  <si>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</si>
  <si>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</si>
  <si>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</si>
  <si>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</si>
  <si>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</si>
  <si>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</si>
  <si>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</si>
  <si>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</si>
  <si>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</si>
  <si>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</si>
  <si>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</si>
  <si>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</si>
  <si>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</si>
  <si>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</si>
  <si>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</si>
  <si>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</si>
  <si>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</si>
  <si>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</si>
  <si>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</si>
  <si>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</si>
  <si>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</si>
  <si>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</si>
  <si>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</si>
  <si>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</si>
  <si>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</si>
  <si>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</si>
  <si>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</si>
  <si>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</si>
  <si>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</si>
  <si>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</si>
  <si>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</si>
  <si>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</si>
  <si>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</si>
  <si>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</si>
  <si>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</si>
  <si>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</si>
  <si>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</si>
  <si>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</si>
  <si>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</si>
  <si>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</si>
  <si>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</si>
  <si>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</si>
  <si>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</si>
  <si>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</si>
  <si>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</si>
  <si>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</si>
  <si>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</si>
  <si>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</si>
  <si>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</si>
  <si>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</si>
  <si>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</si>
  <si>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</si>
  <si>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</si>
  <si>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</si>
  <si>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</si>
  <si>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</si>
  <si>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</si>
  <si>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</si>
  <si>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</si>
  <si>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</si>
  <si>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</si>
  <si>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</si>
  <si>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</si>
  <si>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</si>
  <si>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</si>
  <si>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</si>
  <si>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</si>
  <si>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</si>
  <si>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</si>
  <si>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</si>
  <si>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</si>
  <si>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</si>
  <si>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</si>
  <si>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</si>
  <si>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</si>
  <si>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</si>
  <si>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</si>
  <si>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</si>
  <si>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</si>
  <si>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</si>
  <si>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</si>
  <si>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</si>
  <si>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</si>
  <si>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</si>
  <si>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</si>
  <si>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</si>
  <si>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</si>
  <si>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</si>
  <si>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</si>
  <si>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</si>
  <si>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</si>
  <si>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</si>
  <si>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</si>
  <si>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</si>
  <si>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</si>
  <si>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</si>
  <si>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</si>
  <si>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</si>
  <si>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</si>
  <si>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</si>
  <si>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</si>
  <si>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</si>
  <si>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</si>
  <si>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</si>
  <si>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</si>
  <si>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</si>
  <si>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</si>
  <si>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</si>
  <si>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</si>
  <si>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</si>
  <si>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</si>
  <si>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</si>
  <si>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</si>
  <si>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</si>
  <si>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</si>
  <si>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</si>
  <si>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</si>
  <si>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</si>
  <si>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</si>
  <si>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</si>
  <si>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</si>
  <si>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</si>
  <si>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</si>
  <si>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</si>
  <si>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</si>
  <si>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</si>
  <si>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</si>
  <si>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</si>
  <si>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</si>
  <si>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</si>
  <si>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</si>
  <si>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Ilmenau GmbH</t>
  </si>
  <si>
    <t xml:space="preserve">700772 oder 9870077200003 </t>
  </si>
  <si>
    <t>Auf dem Mittelfeld 5</t>
  </si>
  <si>
    <t>D-98693</t>
  </si>
  <si>
    <t>Ilmenau</t>
  </si>
  <si>
    <t>Marion Hoffmann</t>
  </si>
  <si>
    <t>netznutzung@stadtwerke-ilmenau.de</t>
  </si>
  <si>
    <t>03677/788214</t>
  </si>
  <si>
    <t>GASPOOLNH7007721</t>
  </si>
  <si>
    <t xml:space="preserve">Ilmenau </t>
  </si>
  <si>
    <t>Meteomedia GmbH</t>
  </si>
  <si>
    <t>Martinroda</t>
  </si>
  <si>
    <t>DE_GBA04</t>
  </si>
  <si>
    <t>DE_GBD04</t>
  </si>
  <si>
    <t>DE_GBH04</t>
  </si>
  <si>
    <t>DE_HKO03</t>
  </si>
  <si>
    <t>DE_GMK04</t>
  </si>
  <si>
    <t>DE_GHA04</t>
  </si>
  <si>
    <t>DE_GKO04</t>
  </si>
  <si>
    <t>DE_GGB04</t>
  </si>
  <si>
    <t>DE_GGA04</t>
  </si>
  <si>
    <t>DE_GPD04</t>
  </si>
  <si>
    <t>DE_GWA04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</si>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</sst>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181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43663</v>
      </c>
      <c r="E29" s="8"/>
      <c r="F29" s="8"/>
      <c r="G29" s="8"/>
      <c r="H29" s="8"/>
    </row>
    <row r="30" spans="2:12">
      <c r="B30" s="21" t="s">
        <v>349</v>
      </c>
      <c r="C30" s="338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506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507</v>
      </c>
      <c r="D6" s="27">
        <v>43678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70</v>
      </c>
      <c r="C9" s="5" t="s">
        <v>261</v>
      </c>
      <c r="D9" s="41" t="s">
        <v>658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41" t="s">
        <v>659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72</v>
      </c>
      <c r="C13" s="5" t="s">
        <v>262</v>
      </c>
      <c r="D13" s="41" t="s">
        <v>660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73</v>
      </c>
      <c r="C15" s="5" t="s">
        <v>263</v>
      </c>
      <c r="D15" s="347" t="s">
        <v>661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74</v>
      </c>
      <c r="C17" s="5" t="s">
        <v>264</v>
      </c>
      <c r="D17" s="41" t="s">
        <v>662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75</v>
      </c>
      <c r="C19" s="5" t="s">
        <v>265</v>
      </c>
      <c r="D19" s="41" t="s">
        <v>663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76</v>
      </c>
      <c r="C21" s="5" t="s">
        <v>266</v>
      </c>
      <c r="D21" s="43" t="s">
        <v>664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77</v>
      </c>
      <c r="C23" s="5" t="s">
        <v>267</v>
      </c>
      <c r="D23" s="41" t="s">
        <v>665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505</v>
      </c>
      <c r="D28" s="47" t="str">
        <f>IF(D27&lt;&gt;C28,VLOOKUP(D27,$C$29:$D$48,2,FALSE),C28)</f>
        <v>Ilmenau</v>
      </c>
      <c r="E28" s="38"/>
      <c r="F28" s="11"/>
      <c r="G28" s="2"/>
    </row>
    <row r="29" spans="1:15">
      <c r="B29" s="15"/>
      <c r="C29" s="22" t="s">
        <v>397</v>
      </c>
      <c r="D29" s="348" t="s">
        <v>662</v>
      </c>
      <c r="E29" s="40"/>
      <c r="F29" s="11"/>
      <c r="G29" s="2"/>
    </row>
    <row r="30" spans="1:15">
      <c r="B30" s="15"/>
      <c r="C30" s="22" t="s">
        <v>398</v>
      </c>
      <c r="D30" s="44"/>
      <c r="E30" s="40"/>
      <c r="F30" s="46"/>
      <c r="G30" s="2"/>
    </row>
    <row r="31" spans="1:15">
      <c r="B31" s="15"/>
      <c r="C31" s="22" t="s">
        <v>423</v>
      </c>
      <c r="D31" s="45"/>
      <c r="E31" s="40"/>
      <c r="F31" s="46"/>
      <c r="G31" s="2"/>
    </row>
    <row r="32" spans="1:15">
      <c r="B32" s="15"/>
      <c r="C32" s="22" t="s">
        <v>424</v>
      </c>
      <c r="D32" s="45"/>
      <c r="E32" s="40"/>
      <c r="F32" s="46"/>
      <c r="G32" s="2"/>
    </row>
    <row r="33" spans="2:7">
      <c r="B33" s="15"/>
      <c r="C33" s="22" t="s">
        <v>425</v>
      </c>
      <c r="D33" s="44"/>
      <c r="E33" s="40"/>
      <c r="F33" s="46"/>
      <c r="G33" s="2"/>
    </row>
    <row r="34" spans="2:7">
      <c r="B34" s="15"/>
      <c r="C34" s="22" t="s">
        <v>426</v>
      </c>
      <c r="D34" s="45"/>
      <c r="E34" s="40"/>
      <c r="F34" s="46"/>
      <c r="G34" s="2"/>
    </row>
    <row r="35" spans="2:7">
      <c r="B35" s="15"/>
      <c r="C35" s="22" t="s">
        <v>427</v>
      </c>
      <c r="D35" s="45"/>
      <c r="E35" s="40"/>
      <c r="F35" s="46"/>
      <c r="G35" s="2"/>
    </row>
    <row r="36" spans="2:7">
      <c r="B36" s="15"/>
      <c r="C36" s="22" t="s">
        <v>428</v>
      </c>
      <c r="D36" s="45"/>
      <c r="E36" s="40"/>
      <c r="F36" s="46"/>
      <c r="G36" s="2"/>
    </row>
    <row r="37" spans="2:7">
      <c r="B37" s="15"/>
      <c r="C37" s="22" t="s">
        <v>429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4" priority="3">
      <formula>IF(CELL("Zeile",D30)&lt;$D$25+CELL("Zeile",$D$29),1,0)</formula>
    </cfRule>
  </conditionalFormatting>
  <conditionalFormatting sqref="D30:D48">
    <cfRule type="expression" dxfId="63" priority="2">
      <formula>IF(CELL(D30)&lt;$D$27+27,1,0)</formula>
    </cfRule>
  </conditionalFormatting>
  <conditionalFormatting sqref="D29">
    <cfRule type="expression" dxfId="62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27" sqref="D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Stadtwerke Ilmenau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7" t="str">
        <f>Netzbetreiber!D28</f>
        <v>Ilmenau</v>
      </c>
      <c r="E6" s="15"/>
      <c r="H6" s="67"/>
      <c r="I6" s="67"/>
      <c r="J6" s="67"/>
      <c r="K6" s="67"/>
    </row>
    <row r="7" spans="2:15" ht="15" customHeight="1">
      <c r="B7" s="22"/>
      <c r="C7" s="59" t="s">
        <v>491</v>
      </c>
      <c r="D7" s="60" t="str">
        <f>Netzbetreiber!$D$11</f>
        <v xml:space="preserve">700772 oder 9870077200003 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49">
        <f>Netzbetreiber!$D$6</f>
        <v>43678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76" t="s">
        <v>256</v>
      </c>
      <c r="I11" s="276" t="s">
        <v>259</v>
      </c>
      <c r="J11" s="276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620</v>
      </c>
      <c r="D13" s="33" t="s">
        <v>621</v>
      </c>
      <c r="E13" s="15"/>
      <c r="H13" s="276" t="s">
        <v>621</v>
      </c>
      <c r="I13" s="276" t="s">
        <v>622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1" t="s">
        <v>666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83</v>
      </c>
      <c r="C18" s="31" t="s">
        <v>370</v>
      </c>
      <c r="D18" s="48" t="s">
        <v>257</v>
      </c>
      <c r="E18" s="15"/>
      <c r="H18" s="274" t="s">
        <v>257</v>
      </c>
      <c r="I18" s="274" t="s">
        <v>134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580</v>
      </c>
      <c r="I19" s="275" t="s">
        <v>492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493</v>
      </c>
      <c r="I20" s="275" t="s">
        <v>494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84</v>
      </c>
      <c r="C22" s="8" t="s">
        <v>618</v>
      </c>
      <c r="D22" s="48" t="s">
        <v>614</v>
      </c>
      <c r="E22" s="15"/>
      <c r="H22" s="272" t="s">
        <v>614</v>
      </c>
      <c r="I22" s="272" t="s">
        <v>615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8" t="s">
        <v>616</v>
      </c>
      <c r="E23" s="15"/>
      <c r="H23" s="272" t="s">
        <v>617</v>
      </c>
      <c r="I23" s="8" t="s">
        <v>613</v>
      </c>
      <c r="J23" s="8"/>
      <c r="K23" s="8"/>
      <c r="L23" s="273"/>
    </row>
    <row r="24" spans="2:16" ht="15" customHeight="1">
      <c r="B24" s="22"/>
      <c r="C24" s="24" t="s">
        <v>619</v>
      </c>
      <c r="D24" s="24" t="str">
        <f>IF(D22=$H$22,L24,IF(D23=$H$24,M24,N24))</f>
        <v>=&gt;  Q(D) = KW  x  h(T, SLP-Typ)  x  F(WT)</v>
      </c>
      <c r="E24" s="15"/>
      <c r="H24" s="272" t="s">
        <v>616</v>
      </c>
      <c r="I24" s="272" t="s">
        <v>623</v>
      </c>
      <c r="J24" s="8"/>
      <c r="K24" s="8"/>
      <c r="L24" s="275" t="s">
        <v>624</v>
      </c>
      <c r="M24" s="275" t="s">
        <v>626</v>
      </c>
      <c r="N24" s="275" t="s">
        <v>625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372</v>
      </c>
      <c r="C26" s="6" t="s">
        <v>583</v>
      </c>
      <c r="D26" s="42" t="s">
        <v>135</v>
      </c>
      <c r="E26" s="15"/>
      <c r="H26" s="274" t="s">
        <v>133</v>
      </c>
      <c r="I26" s="274" t="s">
        <v>135</v>
      </c>
      <c r="J26" s="272"/>
      <c r="K26" s="272"/>
      <c r="L26" s="273"/>
    </row>
    <row r="27" spans="2:16" ht="15" customHeight="1">
      <c r="B27" s="7"/>
      <c r="C27" s="6" t="s">
        <v>627</v>
      </c>
      <c r="D27" s="42" t="s">
        <v>628</v>
      </c>
      <c r="E27" s="15"/>
      <c r="H27" s="308" t="s">
        <v>628</v>
      </c>
      <c r="I27" s="274" t="s">
        <v>629</v>
      </c>
      <c r="J27" s="274" t="s">
        <v>630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631</v>
      </c>
      <c r="I28" s="275" t="s">
        <v>632</v>
      </c>
      <c r="J28" s="275" t="s">
        <v>633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634</v>
      </c>
      <c r="I29" s="275" t="s">
        <v>635</v>
      </c>
      <c r="J29" s="275" t="s">
        <v>636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497</v>
      </c>
      <c r="C31" s="6" t="s">
        <v>582</v>
      </c>
      <c r="D31" s="42" t="s">
        <v>135</v>
      </c>
      <c r="E31" s="15"/>
      <c r="H31" s="274" t="s">
        <v>133</v>
      </c>
      <c r="I31" s="274" t="s">
        <v>135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637</v>
      </c>
      <c r="I32" s="275" t="s">
        <v>638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639</v>
      </c>
      <c r="I33" s="272" t="s">
        <v>634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554</v>
      </c>
      <c r="C35" s="24" t="s">
        <v>499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555</v>
      </c>
      <c r="C37" s="5" t="s">
        <v>367</v>
      </c>
      <c r="D37" s="34">
        <v>1500000</v>
      </c>
      <c r="E37" s="15" t="s">
        <v>512</v>
      </c>
      <c r="I37" s="272"/>
      <c r="J37" s="272"/>
      <c r="K37" s="272"/>
      <c r="L37" s="272"/>
      <c r="M37" s="273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556</v>
      </c>
      <c r="C40" s="5" t="s">
        <v>368</v>
      </c>
      <c r="D40" s="36">
        <v>500</v>
      </c>
      <c r="E40" s="15" t="s">
        <v>546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545</v>
      </c>
    </row>
    <row r="44" spans="2:39" ht="18" customHeight="1">
      <c r="C44" s="3" t="s">
        <v>547</v>
      </c>
    </row>
    <row r="45" spans="2:39" ht="18" customHeight="1">
      <c r="C45" s="3"/>
    </row>
    <row r="46" spans="2:39" ht="15" customHeight="1">
      <c r="B46" s="22" t="s">
        <v>557</v>
      </c>
      <c r="C46" s="59" t="s">
        <v>581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591</v>
      </c>
      <c r="D48" s="348" t="s">
        <v>667</v>
      </c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  <row r="60" spans="3:4" ht="18" customHeight="1">
      <c r="C60" s="22" t="s">
        <v>603</v>
      </c>
      <c r="D60" s="44"/>
    </row>
    <row r="61" spans="3:4" ht="18" customHeight="1">
      <c r="C61" s="22" t="s">
        <v>604</v>
      </c>
      <c r="D61" s="44"/>
    </row>
    <row r="62" spans="3:4" ht="18" customHeight="1">
      <c r="C62" s="22" t="s">
        <v>605</v>
      </c>
      <c r="D62" s="44"/>
    </row>
  </sheetData>
  <sheetProtection sheet="1" objects="1" scenarios="1"/>
  <conditionalFormatting sqref="D15">
    <cfRule type="expression" dxfId="61" priority="22">
      <formula>IF($D$11="Gaspool",1,0)</formula>
    </cfRule>
  </conditionalFormatting>
  <conditionalFormatting sqref="D49:D62">
    <cfRule type="expression" dxfId="60" priority="18">
      <formula>IF(CELL("Zeile",D49)&lt;$D$46+CELL("Zeile",$D$48),1,0)</formula>
    </cfRule>
  </conditionalFormatting>
  <conditionalFormatting sqref="D49:D62">
    <cfRule type="expression" dxfId="59" priority="17">
      <formula>IF(CELL(D49)&lt;$D$36+27,1,0)</formula>
    </cfRule>
  </conditionalFormatting>
  <conditionalFormatting sqref="D23">
    <cfRule type="expression" dxfId="58" priority="16">
      <formula>IF($D$22=$H$22,1,0)</formula>
    </cfRule>
  </conditionalFormatting>
  <conditionalFormatting sqref="D31">
    <cfRule type="expression" dxfId="57" priority="5">
      <formula>IF($D$18="synthetisch",1,0)</formula>
    </cfRule>
  </conditionalFormatting>
  <conditionalFormatting sqref="D28">
    <cfRule type="expression" dxfId="56" priority="3">
      <formula>IF(AND($D$27=$I$27,$D$26=$H$26),1,0)</formula>
    </cfRule>
  </conditionalFormatting>
  <conditionalFormatting sqref="D26:D28">
    <cfRule type="expression" dxfId="55" priority="6">
      <formula>IF($D$18="analytisch",1,0)</formula>
    </cfRule>
  </conditionalFormatting>
  <conditionalFormatting sqref="D27">
    <cfRule type="expression" dxfId="54" priority="4">
      <formula>IF($D$26="nein",1)</formula>
    </cfRule>
  </conditionalFormatting>
  <conditionalFormatting sqref="D16">
    <cfRule type="expression" dxfId="53" priority="2">
      <formula>IF($D$11="NCG",1,0)</formula>
    </cfRule>
  </conditionalFormatting>
  <conditionalFormatting sqref="D48">
    <cfRule type="expression" dxfId="52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7" zoomScale="70" zoomScaleNormal="70" workbookViewId="0">
      <selection activeCell="E34" sqref="E34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549</v>
      </c>
    </row>
    <row r="3" spans="1:56" ht="15" customHeight="1">
      <c r="B3" s="171"/>
    </row>
    <row r="4" spans="1:56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1:56">
      <c r="B5" s="130"/>
      <c r="C5" s="55" t="s">
        <v>447</v>
      </c>
      <c r="D5" s="56"/>
      <c r="E5" s="57" t="str">
        <f>Netzbetreiber!D28</f>
        <v>Ilmenau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491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527</v>
      </c>
      <c r="D9" s="130"/>
      <c r="E9" s="130"/>
      <c r="F9" s="154">
        <f>'SLP-Verfahren'!D46</f>
        <v>1</v>
      </c>
      <c r="H9" s="172" t="s">
        <v>606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590</v>
      </c>
      <c r="D10" s="130"/>
      <c r="E10" s="130"/>
      <c r="F10" s="299">
        <v>1</v>
      </c>
      <c r="G10" s="56"/>
      <c r="H10" s="172" t="s">
        <v>607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608</v>
      </c>
      <c r="D11" s="130"/>
      <c r="E11" s="130"/>
      <c r="F11" s="296" t="str">
        <f>INDEX('SLP-Verfahren'!D48:D62,'SLP-Temp-Gebiet #01'!F10)</f>
        <v xml:space="preserve">Ilmenau 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0" t="s">
        <v>589</v>
      </c>
      <c r="D13" s="350"/>
      <c r="E13" s="350"/>
      <c r="F13" s="183" t="s">
        <v>553</v>
      </c>
      <c r="G13" s="130" t="s">
        <v>551</v>
      </c>
      <c r="H13" s="265" t="s">
        <v>568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1" t="s">
        <v>451</v>
      </c>
      <c r="D14" s="351"/>
      <c r="E14" s="89" t="s">
        <v>452</v>
      </c>
      <c r="F14" s="266" t="s">
        <v>84</v>
      </c>
      <c r="G14" s="267" t="s">
        <v>577</v>
      </c>
      <c r="H14" s="50">
        <v>0</v>
      </c>
      <c r="I14" s="56"/>
      <c r="J14" s="130"/>
      <c r="K14" s="130"/>
      <c r="L14" s="130"/>
      <c r="M14" s="130"/>
      <c r="N14" s="130"/>
      <c r="O14" s="173" t="s">
        <v>532</v>
      </c>
      <c r="R14" s="209" t="s">
        <v>569</v>
      </c>
      <c r="S14" s="209" t="s">
        <v>570</v>
      </c>
      <c r="T14" s="209" t="s">
        <v>571</v>
      </c>
      <c r="U14" s="209" t="s">
        <v>572</v>
      </c>
      <c r="V14" s="209" t="s">
        <v>552</v>
      </c>
      <c r="W14" s="209" t="s">
        <v>573</v>
      </c>
      <c r="X14" s="209" t="s">
        <v>574</v>
      </c>
      <c r="Y14" s="209" t="s">
        <v>575</v>
      </c>
      <c r="Z14" s="209" t="s">
        <v>576</v>
      </c>
      <c r="AA14" s="209" t="s">
        <v>577</v>
      </c>
      <c r="AB14" s="209" t="s">
        <v>578</v>
      </c>
      <c r="AC14" s="209" t="s">
        <v>579</v>
      </c>
    </row>
    <row r="15" spans="1:56" ht="19.5" customHeight="1">
      <c r="B15" s="130"/>
      <c r="C15" s="351" t="s">
        <v>389</v>
      </c>
      <c r="D15" s="351"/>
      <c r="E15" s="89" t="s">
        <v>452</v>
      </c>
      <c r="F15" s="266" t="s">
        <v>70</v>
      </c>
      <c r="G15" s="267" t="s">
        <v>571</v>
      </c>
      <c r="H15" s="50">
        <v>0</v>
      </c>
      <c r="I15" s="56"/>
      <c r="J15" s="130"/>
      <c r="K15" s="130"/>
      <c r="L15" s="130"/>
      <c r="M15" s="130"/>
      <c r="N15" s="130"/>
      <c r="O15" s="161" t="s">
        <v>668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372</v>
      </c>
      <c r="AH15" s="264" t="s">
        <v>497</v>
      </c>
      <c r="AI15" s="264" t="s">
        <v>554</v>
      </c>
      <c r="AJ15" s="264" t="s">
        <v>555</v>
      </c>
      <c r="AK15" s="264" t="s">
        <v>556</v>
      </c>
      <c r="AL15" s="264" t="s">
        <v>557</v>
      </c>
      <c r="AM15" s="264" t="s">
        <v>558</v>
      </c>
      <c r="AN15" s="264" t="s">
        <v>559</v>
      </c>
      <c r="AO15" s="264" t="s">
        <v>560</v>
      </c>
      <c r="AP15" s="264" t="s">
        <v>561</v>
      </c>
      <c r="AQ15" s="264" t="s">
        <v>562</v>
      </c>
      <c r="AR15" s="264" t="s">
        <v>563</v>
      </c>
      <c r="AS15" s="264" t="s">
        <v>564</v>
      </c>
      <c r="AT15" s="264" t="s">
        <v>565</v>
      </c>
      <c r="AU15" s="264" t="s">
        <v>566</v>
      </c>
      <c r="AV15" s="264" t="s">
        <v>567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522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528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523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530</v>
      </c>
      <c r="D21" s="153" t="s">
        <v>521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542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508</v>
      </c>
      <c r="T23" s="297" t="str">
        <f>O15</f>
        <v>Meteomedia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525</v>
      </c>
      <c r="D24" s="188"/>
      <c r="E24" s="349" t="s">
        <v>669</v>
      </c>
      <c r="F24" s="156" t="s">
        <v>587</v>
      </c>
      <c r="G24" s="156"/>
      <c r="H24" s="156"/>
      <c r="I24" s="156"/>
      <c r="J24" s="156"/>
      <c r="K24" s="156"/>
      <c r="L24" s="156"/>
      <c r="M24" s="156"/>
      <c r="N24" s="156"/>
      <c r="O24" s="185" t="s">
        <v>526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520</v>
      </c>
      <c r="D25" s="188"/>
      <c r="E25" s="349">
        <v>193264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509</v>
      </c>
      <c r="F26" s="156" t="s">
        <v>509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531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538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610</v>
      </c>
      <c r="D35" s="153" t="s">
        <v>611</v>
      </c>
      <c r="E35" s="156" t="s">
        <v>609</v>
      </c>
      <c r="F35" s="156" t="s">
        <v>609</v>
      </c>
      <c r="G35" s="156" t="s">
        <v>609</v>
      </c>
      <c r="H35" s="156" t="s">
        <v>609</v>
      </c>
      <c r="I35" s="156" t="s">
        <v>609</v>
      </c>
      <c r="J35" s="156" t="s">
        <v>609</v>
      </c>
      <c r="K35" s="156" t="s">
        <v>609</v>
      </c>
      <c r="L35" s="156" t="s">
        <v>609</v>
      </c>
      <c r="M35" s="156" t="s">
        <v>609</v>
      </c>
      <c r="N35" s="156" t="s">
        <v>609</v>
      </c>
      <c r="O35" s="185" t="s">
        <v>141</v>
      </c>
      <c r="Q35" s="211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446</v>
      </c>
      <c r="D36" s="119" t="s">
        <v>543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536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540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541</v>
      </c>
      <c r="D46" s="201" t="s">
        <v>539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539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584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523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530</v>
      </c>
      <c r="D55" s="153" t="s">
        <v>521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542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525</v>
      </c>
      <c r="D58" s="188"/>
      <c r="E58" s="156" t="str">
        <f>E24</f>
        <v>Martinroda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526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60">
        <f>E25</f>
        <v>193264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531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538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141</v>
      </c>
    </row>
    <row r="68" spans="2:15">
      <c r="B68" s="183"/>
      <c r="C68" s="187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141</v>
      </c>
    </row>
    <row r="69" spans="2:15">
      <c r="B69" s="183"/>
      <c r="C69" s="187" t="s">
        <v>610</v>
      </c>
      <c r="D69" s="153" t="s">
        <v>611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141</v>
      </c>
    </row>
    <row r="70" spans="2:15">
      <c r="B70" s="183"/>
      <c r="C70" s="192" t="s">
        <v>446</v>
      </c>
      <c r="D70" s="119" t="s">
        <v>543</v>
      </c>
      <c r="E70" s="162" t="s">
        <v>455</v>
      </c>
      <c r="F70" s="162" t="s">
        <v>455</v>
      </c>
      <c r="G70" s="162" t="s">
        <v>456</v>
      </c>
      <c r="H70" s="162" t="s">
        <v>456</v>
      </c>
      <c r="I70" s="163">
        <f t="shared" ref="I70:N70" si="17">I36</f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141</v>
      </c>
    </row>
    <row r="71" spans="2:15"/>
    <row r="72" spans="2:15" ht="15.75" customHeight="1">
      <c r="C72" s="352" t="s">
        <v>585</v>
      </c>
      <c r="D72" s="352"/>
      <c r="E72" s="352"/>
      <c r="F72" s="35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3 F24:N25">
    <cfRule type="expression" dxfId="51" priority="32">
      <formula>IF(E$20&lt;=$F$18,1,0)</formula>
    </cfRule>
  </conditionalFormatting>
  <conditionalFormatting sqref="E32:N36">
    <cfRule type="expression" dxfId="50" priority="31">
      <formula>IF(E$30&lt;=$F$28,1,0)</formula>
    </cfRule>
  </conditionalFormatting>
  <conditionalFormatting sqref="E26:F26">
    <cfRule type="expression" dxfId="49" priority="30">
      <formula>IF(E$20&lt;=$F$18,1,0)</formula>
    </cfRule>
  </conditionalFormatting>
  <conditionalFormatting sqref="E26:N26">
    <cfRule type="expression" dxfId="48" priority="29">
      <formula>IF(E$20&lt;=$F$18,1,0)</formula>
    </cfRule>
  </conditionalFormatting>
  <conditionalFormatting sqref="E56:N59">
    <cfRule type="expression" dxfId="47" priority="26">
      <formula>IF(E$54&lt;=$F$52,1,0)</formula>
    </cfRule>
  </conditionalFormatting>
  <conditionalFormatting sqref="E60:N60">
    <cfRule type="expression" dxfId="46" priority="25">
      <formula>IF(E$54&lt;=$F$52,1,0)</formula>
    </cfRule>
  </conditionalFormatting>
  <conditionalFormatting sqref="E66:N68">
    <cfRule type="expression" dxfId="45" priority="19">
      <formula>IF(E$64&lt;=$F$62,1,0)</formula>
    </cfRule>
  </conditionalFormatting>
  <conditionalFormatting sqref="E65:N68 I70:N70">
    <cfRule type="expression" dxfId="44" priority="17">
      <formula>IF(E$64&gt;$F$62,1,0)</formula>
    </cfRule>
  </conditionalFormatting>
  <conditionalFormatting sqref="E56:N60">
    <cfRule type="expression" dxfId="43" priority="16">
      <formula>IF(E$54&gt;$F$52,1,0)</formula>
    </cfRule>
  </conditionalFormatting>
  <conditionalFormatting sqref="E21:N23 E26:N26 F24:N25">
    <cfRule type="expression" dxfId="42" priority="15">
      <formula>IF(E$20&gt;$F$18,1,0)</formula>
    </cfRule>
  </conditionalFormatting>
  <conditionalFormatting sqref="E32:N36">
    <cfRule type="expression" dxfId="41" priority="14">
      <formula>IF(E$30&gt;$F$28,1,0)</formula>
    </cfRule>
  </conditionalFormatting>
  <conditionalFormatting sqref="H11 H8:H9">
    <cfRule type="expression" dxfId="40" priority="13">
      <formula>IF($F$9=1,1,0)</formula>
    </cfRule>
  </conditionalFormatting>
  <conditionalFormatting sqref="E55:N55">
    <cfRule type="expression" dxfId="39" priority="12">
      <formula>IF(E$54&gt;$F$52,1,0)</formula>
    </cfRule>
  </conditionalFormatting>
  <conditionalFormatting sqref="E31:N31">
    <cfRule type="expression" dxfId="38" priority="11">
      <formula>IF(E$30&gt;$F$28,1,0)</formula>
    </cfRule>
  </conditionalFormatting>
  <conditionalFormatting sqref="I70:N70">
    <cfRule type="expression" dxfId="37" priority="10">
      <formula>IF(I$64&lt;=$F$62,1,0)</formula>
    </cfRule>
  </conditionalFormatting>
  <conditionalFormatting sqref="H10">
    <cfRule type="expression" dxfId="36" priority="9">
      <formula>IF($F$9=1,1,0)</formula>
    </cfRule>
  </conditionalFormatting>
  <conditionalFormatting sqref="E69:N69">
    <cfRule type="expression" dxfId="35" priority="6">
      <formula>IF(E$64&lt;=$F$62,1,0)</formula>
    </cfRule>
  </conditionalFormatting>
  <conditionalFormatting sqref="E69:N69">
    <cfRule type="expression" dxfId="34" priority="5">
      <formula>IF(E$64&gt;$F$62,1,0)</formula>
    </cfRule>
  </conditionalFormatting>
  <conditionalFormatting sqref="E24:E25">
    <cfRule type="expression" dxfId="33" priority="4">
      <formula>IF(E$20&lt;=$F$18,1,0)</formula>
    </cfRule>
  </conditionalFormatting>
  <conditionalFormatting sqref="E24:E25">
    <cfRule type="expression" dxfId="32" priority="3">
      <formula>IF(E$20&gt;$F$18,1,0)</formula>
    </cfRule>
  </conditionalFormatting>
  <conditionalFormatting sqref="E70:H70">
    <cfRule type="expression" dxfId="31" priority="2">
      <formula>IF(E$30&lt;=$F$28,1,0)</formula>
    </cfRule>
  </conditionalFormatting>
  <conditionalFormatting sqref="E70:H70">
    <cfRule type="expression" dxfId="30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I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549</v>
      </c>
    </row>
    <row r="3" spans="1:56" ht="15" customHeight="1">
      <c r="B3" s="171"/>
    </row>
    <row r="4" spans="1:56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1:56">
      <c r="B5" s="130"/>
      <c r="C5" s="55" t="s">
        <v>447</v>
      </c>
      <c r="D5" s="56"/>
      <c r="E5" s="57" t="str">
        <f>Netzbetreiber!D28</f>
        <v>Ilmenau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491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527</v>
      </c>
      <c r="D9" s="130"/>
      <c r="E9" s="130"/>
      <c r="F9" s="154">
        <f>'SLP-Verfahren'!D46</f>
        <v>1</v>
      </c>
      <c r="H9" s="172" t="s">
        <v>606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590</v>
      </c>
      <c r="D10" s="130"/>
      <c r="E10" s="130"/>
      <c r="F10" s="299">
        <v>2</v>
      </c>
      <c r="G10" s="56"/>
      <c r="H10" s="172" t="s">
        <v>607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608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0" t="s">
        <v>589</v>
      </c>
      <c r="D13" s="350"/>
      <c r="E13" s="350"/>
      <c r="F13" s="183" t="s">
        <v>553</v>
      </c>
      <c r="G13" s="130" t="s">
        <v>551</v>
      </c>
      <c r="H13" s="265" t="s">
        <v>568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1" t="s">
        <v>451</v>
      </c>
      <c r="D14" s="351"/>
      <c r="E14" s="89" t="s">
        <v>452</v>
      </c>
      <c r="F14" s="266" t="s">
        <v>84</v>
      </c>
      <c r="G14" s="267" t="s">
        <v>577</v>
      </c>
      <c r="H14" s="50">
        <v>0</v>
      </c>
      <c r="I14" s="56"/>
      <c r="J14" s="130"/>
      <c r="K14" s="130"/>
      <c r="L14" s="130"/>
      <c r="M14" s="130"/>
      <c r="N14" s="130"/>
      <c r="O14" s="173" t="s">
        <v>532</v>
      </c>
      <c r="R14" s="209" t="s">
        <v>569</v>
      </c>
      <c r="S14" s="209" t="s">
        <v>570</v>
      </c>
      <c r="T14" s="209" t="s">
        <v>571</v>
      </c>
      <c r="U14" s="209" t="s">
        <v>572</v>
      </c>
      <c r="V14" s="209" t="s">
        <v>552</v>
      </c>
      <c r="W14" s="209" t="s">
        <v>573</v>
      </c>
      <c r="X14" s="209" t="s">
        <v>574</v>
      </c>
      <c r="Y14" s="209" t="s">
        <v>575</v>
      </c>
      <c r="Z14" s="209" t="s">
        <v>576</v>
      </c>
      <c r="AA14" s="209" t="s">
        <v>577</v>
      </c>
      <c r="AB14" s="209" t="s">
        <v>578</v>
      </c>
      <c r="AC14" s="209" t="s">
        <v>579</v>
      </c>
    </row>
    <row r="15" spans="1:56" ht="19.5" customHeight="1">
      <c r="B15" s="130"/>
      <c r="C15" s="351" t="s">
        <v>389</v>
      </c>
      <c r="D15" s="351"/>
      <c r="E15" s="89" t="s">
        <v>452</v>
      </c>
      <c r="F15" s="266" t="s">
        <v>70</v>
      </c>
      <c r="G15" s="267" t="s">
        <v>571</v>
      </c>
      <c r="H15" s="50">
        <v>0</v>
      </c>
      <c r="I15" s="56"/>
      <c r="J15" s="130"/>
      <c r="K15" s="130"/>
      <c r="L15" s="130"/>
      <c r="M15" s="130"/>
      <c r="N15" s="130"/>
      <c r="O15" s="161" t="s">
        <v>533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372</v>
      </c>
      <c r="AH15" s="264" t="s">
        <v>497</v>
      </c>
      <c r="AI15" s="264" t="s">
        <v>554</v>
      </c>
      <c r="AJ15" s="264" t="s">
        <v>555</v>
      </c>
      <c r="AK15" s="264" t="s">
        <v>556</v>
      </c>
      <c r="AL15" s="264" t="s">
        <v>557</v>
      </c>
      <c r="AM15" s="264" t="s">
        <v>558</v>
      </c>
      <c r="AN15" s="264" t="s">
        <v>559</v>
      </c>
      <c r="AO15" s="264" t="s">
        <v>560</v>
      </c>
      <c r="AP15" s="264" t="s">
        <v>561</v>
      </c>
      <c r="AQ15" s="264" t="s">
        <v>562</v>
      </c>
      <c r="AR15" s="264" t="s">
        <v>563</v>
      </c>
      <c r="AS15" s="264" t="s">
        <v>564</v>
      </c>
      <c r="AT15" s="264" t="s">
        <v>565</v>
      </c>
      <c r="AU15" s="264" t="s">
        <v>566</v>
      </c>
      <c r="AV15" s="264" t="s">
        <v>567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522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528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523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530</v>
      </c>
      <c r="D21" s="153" t="s">
        <v>521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542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508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525</v>
      </c>
      <c r="D24" s="188"/>
      <c r="E24" s="156" t="s">
        <v>586</v>
      </c>
      <c r="F24" s="156" t="s">
        <v>587</v>
      </c>
      <c r="G24" s="156"/>
      <c r="H24" s="156"/>
      <c r="I24" s="156"/>
      <c r="J24" s="156"/>
      <c r="K24" s="156"/>
      <c r="L24" s="156"/>
      <c r="M24" s="156"/>
      <c r="N24" s="156"/>
      <c r="O24" s="185" t="s">
        <v>526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520</v>
      </c>
      <c r="D25" s="188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509</v>
      </c>
      <c r="F26" s="156" t="s">
        <v>509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524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531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538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610</v>
      </c>
      <c r="D35" s="153" t="s">
        <v>611</v>
      </c>
      <c r="E35" s="156" t="s">
        <v>609</v>
      </c>
      <c r="F35" s="156" t="s">
        <v>609</v>
      </c>
      <c r="G35" s="156" t="s">
        <v>609</v>
      </c>
      <c r="H35" s="156" t="s">
        <v>609</v>
      </c>
      <c r="I35" s="156" t="s">
        <v>609</v>
      </c>
      <c r="J35" s="156" t="s">
        <v>609</v>
      </c>
      <c r="K35" s="156" t="s">
        <v>609</v>
      </c>
      <c r="L35" s="156" t="s">
        <v>609</v>
      </c>
      <c r="M35" s="156" t="s">
        <v>609</v>
      </c>
      <c r="N35" s="156" t="s">
        <v>609</v>
      </c>
      <c r="O35" s="185" t="s">
        <v>141</v>
      </c>
      <c r="Q35" s="211"/>
      <c r="R35" s="67" t="s">
        <v>609</v>
      </c>
      <c r="S35" s="67" t="s">
        <v>612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446</v>
      </c>
      <c r="D36" s="119" t="s">
        <v>543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351</v>
      </c>
      <c r="D39" s="198"/>
      <c r="E39" s="198" t="s">
        <v>536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529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540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541</v>
      </c>
      <c r="D46" s="201" t="s">
        <v>539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28">
      <c r="B47" s="193"/>
      <c r="C47" s="200" t="s">
        <v>350</v>
      </c>
      <c r="D47" s="201" t="s">
        <v>539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584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548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523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530</v>
      </c>
      <c r="D55" s="153" t="s">
        <v>521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542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525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526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524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531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538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610</v>
      </c>
      <c r="D69" s="153" t="s">
        <v>611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446</v>
      </c>
      <c r="D70" s="119" t="s">
        <v>543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2" t="s">
        <v>585</v>
      </c>
      <c r="D72" s="352"/>
      <c r="E72" s="352"/>
      <c r="F72" s="35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J9" sqref="J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371</v>
      </c>
      <c r="D5" s="53" t="str">
        <f>Netzbetreiber!$D$9</f>
        <v>Stadtwerke Ilmenau GmbH</v>
      </c>
      <c r="E5" s="130"/>
      <c r="H5" s="88" t="s">
        <v>501</v>
      </c>
      <c r="I5" s="131" t="s">
        <v>504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338</v>
      </c>
      <c r="D6" s="53" t="str">
        <f>Netzbetreiber!$D$28</f>
        <v>Ilmenau</v>
      </c>
      <c r="E6" s="130"/>
      <c r="F6" s="130"/>
      <c r="I6" s="131" t="s">
        <v>514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491</v>
      </c>
      <c r="D7" s="53" t="str">
        <f>Netzbetreiber!$D$11</f>
        <v xml:space="preserve">700772 oder 9870077200003 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51">
        <f>Netzbetreiber!$D$6</f>
        <v>43678</v>
      </c>
      <c r="E8" s="130"/>
      <c r="F8" s="130"/>
      <c r="H8" s="128" t="s">
        <v>499</v>
      </c>
      <c r="J8" s="132">
        <f>COUNTA(D11:D98)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498</v>
      </c>
      <c r="D10" s="134" t="s">
        <v>146</v>
      </c>
      <c r="E10" s="277" t="s">
        <v>516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640</v>
      </c>
      <c r="M10" s="150" t="s">
        <v>649</v>
      </c>
      <c r="N10" s="151" t="s">
        <v>650</v>
      </c>
      <c r="O10" s="151" t="s">
        <v>651</v>
      </c>
      <c r="P10" s="152" t="s">
        <v>652</v>
      </c>
      <c r="Q10" s="146" t="s">
        <v>641</v>
      </c>
      <c r="R10" s="136" t="s">
        <v>642</v>
      </c>
      <c r="S10" s="137" t="s">
        <v>643</v>
      </c>
      <c r="T10" s="137" t="s">
        <v>644</v>
      </c>
      <c r="U10" s="137" t="s">
        <v>645</v>
      </c>
      <c r="V10" s="137" t="s">
        <v>646</v>
      </c>
      <c r="W10" s="137" t="s">
        <v>647</v>
      </c>
      <c r="X10" s="138" t="s">
        <v>648</v>
      </c>
      <c r="Y10" s="305" t="s">
        <v>653</v>
      </c>
    </row>
    <row r="11" spans="2:26" ht="15.75" thickBot="1">
      <c r="B11" s="139" t="s">
        <v>500</v>
      </c>
      <c r="C11" s="140" t="s">
        <v>515</v>
      </c>
      <c r="D11" s="304" t="s">
        <v>247</v>
      </c>
      <c r="E11" s="164" t="s">
        <v>673</v>
      </c>
      <c r="F11" s="306" t="str">
        <f>VLOOKUP($E11,'BDEW-Standard'!$B$3:$M$158,F$9,0)</f>
        <v>HK3</v>
      </c>
      <c r="H11" s="167">
        <f>ROUND(VLOOKUP($E11,'BDEW-Standard'!$B$3:$M$158,H$9,0),7)</f>
        <v>0.40409319999999999</v>
      </c>
      <c r="I11" s="167">
        <f>ROUND(VLOOKUP($E11,'BDEW-Standard'!$B$3:$M$158,I$9,0),7)</f>
        <v>-24.439296800000001</v>
      </c>
      <c r="J11" s="167">
        <f>ROUND(VLOOKUP($E11,'BDEW-Standard'!$B$3:$M$158,J$9,0),7)</f>
        <v>6.5718174999999999</v>
      </c>
      <c r="K11" s="167">
        <f>ROUND(VLOOKUP($E11,'BDEW-Standard'!$B$3:$M$158,K$9,0),7)</f>
        <v>0.71077100000000004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1.0561214000512988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39" si="0">$D$6</f>
        <v>Ilmenau</v>
      </c>
      <c r="D12" s="62" t="s">
        <v>247</v>
      </c>
      <c r="E12" s="165" t="s">
        <v>670</v>
      </c>
      <c r="F12" s="307" t="str">
        <f>VLOOKUP($E12,'BDEW-Standard'!$B$3:$M$94,F$9,0)</f>
        <v>BA4</v>
      </c>
      <c r="H12" s="278">
        <f>ROUND(VLOOKUP($E12,'BDEW-Standard'!$B$3:$M$94,H$9,0),7)</f>
        <v>0.93158890000000005</v>
      </c>
      <c r="I12" s="278">
        <f>ROUND(VLOOKUP($E12,'BDEW-Standard'!$B$3:$M$94,I$9,0),7)</f>
        <v>-33.35</v>
      </c>
      <c r="J12" s="278">
        <f>ROUND(VLOOKUP($E12,'BDEW-Standard'!$B$3:$M$94,J$9,0),7)</f>
        <v>5.7212303000000002</v>
      </c>
      <c r="K12" s="278">
        <f>ROUND(VLOOKUP($E12,'BDEW-Standard'!$B$3:$M$94,K$9,0),7)</f>
        <v>0.66564939999999995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4" si="1">($H12/(1+($I12/($Q$9-$L12))^$J12)+$K12)+MAX($M12*$Q$9+$N12,$O12*$Q$9+$P12)</f>
        <v>1.0766391850538448</v>
      </c>
      <c r="R12" s="281">
        <f>ROUND(VLOOKUP(MID($E12,4,3),'Wochentag F(WT)'!$B$7:$J$22,R$9,0),4)</f>
        <v>1.0848</v>
      </c>
      <c r="S12" s="281">
        <f>ROUND(VLOOKUP(MID($E12,4,3),'Wochentag F(WT)'!$B$7:$J$22,S$9,0),4)</f>
        <v>1.1211</v>
      </c>
      <c r="T12" s="281">
        <f>ROUND(VLOOKUP(MID($E12,4,3),'Wochentag F(WT)'!$B$7:$J$22,T$9,0),4)</f>
        <v>1.0769</v>
      </c>
      <c r="U12" s="281">
        <f>ROUND(VLOOKUP(MID($E12,4,3),'Wochentag F(WT)'!$B$7:$J$22,U$9,0),4)</f>
        <v>1.1353</v>
      </c>
      <c r="V12" s="281">
        <f>ROUND(VLOOKUP(MID($E12,4,3),'Wochentag F(WT)'!$B$7:$J$22,V$9,0),4)</f>
        <v>1.1402000000000001</v>
      </c>
      <c r="W12" s="281">
        <f>ROUND(VLOOKUP(MID($E12,4,3),'Wochentag F(WT)'!$B$7:$J$22,W$9,0),4)</f>
        <v>0.48520000000000002</v>
      </c>
      <c r="X12" s="282">
        <f>7-SUM(R12:W12)</f>
        <v>0.95650000000000013</v>
      </c>
      <c r="Y12" s="303"/>
      <c r="Z12" s="212"/>
    </row>
    <row r="13" spans="2:26" s="143" customFormat="1">
      <c r="B13" s="144">
        <v>2</v>
      </c>
      <c r="C13" s="145" t="str">
        <f t="shared" si="0"/>
        <v>Ilmenau</v>
      </c>
      <c r="D13" s="62" t="s">
        <v>247</v>
      </c>
      <c r="E13" s="165" t="s">
        <v>671</v>
      </c>
      <c r="F13" s="307" t="str">
        <f>VLOOKUP($E13,'BDEW-Standard'!$B$3:$M$94,F$9,0)</f>
        <v>BD4</v>
      </c>
      <c r="H13" s="278">
        <f>ROUND(VLOOKUP($E13,'BDEW-Standard'!$B$3:$M$94,H$9,0),7)</f>
        <v>3.75</v>
      </c>
      <c r="I13" s="278">
        <f>ROUND(VLOOKUP($E13,'BDEW-Standard'!$B$3:$M$94,I$9,0),7)</f>
        <v>-37.5</v>
      </c>
      <c r="J13" s="278">
        <f>ROUND(VLOOKUP($E13,'BDEW-Standard'!$B$3:$M$94,J$9,0),7)</f>
        <v>6.8</v>
      </c>
      <c r="K13" s="278">
        <f>ROUND(VLOOKUP($E13,'BDEW-Standard'!$B$3:$M$94,K$9,0),7)</f>
        <v>6.0911300000000002E-2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1.0126136468627658</v>
      </c>
      <c r="R13" s="281">
        <f>ROUND(VLOOKUP(MID($E13,4,3),'Wochentag F(WT)'!$B$7:$J$22,R$9,0),4)</f>
        <v>1.1052</v>
      </c>
      <c r="S13" s="281">
        <f>ROUND(VLOOKUP(MID($E13,4,3),'Wochentag F(WT)'!$B$7:$J$22,S$9,0),4)</f>
        <v>1.0857000000000001</v>
      </c>
      <c r="T13" s="281">
        <f>ROUND(VLOOKUP(MID($E13,4,3),'Wochentag F(WT)'!$B$7:$J$22,T$9,0),4)</f>
        <v>1.0378000000000001</v>
      </c>
      <c r="U13" s="281">
        <f>ROUND(VLOOKUP(MID($E13,4,3),'Wochentag F(WT)'!$B$7:$J$22,U$9,0),4)</f>
        <v>1.0622</v>
      </c>
      <c r="V13" s="281">
        <f>ROUND(VLOOKUP(MID($E13,4,3),'Wochentag F(WT)'!$B$7:$J$22,V$9,0),4)</f>
        <v>1.0266</v>
      </c>
      <c r="W13" s="281">
        <f>ROUND(VLOOKUP(MID($E13,4,3),'Wochentag F(WT)'!$B$7:$J$22,W$9,0),4)</f>
        <v>0.76290000000000002</v>
      </c>
      <c r="X13" s="282">
        <f t="shared" ref="X13:X24" si="2">7-SUM(R13:W13)</f>
        <v>0.91959999999999997</v>
      </c>
      <c r="Y13" s="303"/>
      <c r="Z13" s="212"/>
    </row>
    <row r="14" spans="2:26" s="143" customFormat="1">
      <c r="B14" s="144">
        <v>3</v>
      </c>
      <c r="C14" s="145" t="str">
        <f t="shared" si="0"/>
        <v>Ilmenau</v>
      </c>
      <c r="D14" s="62" t="s">
        <v>247</v>
      </c>
      <c r="E14" s="165" t="s">
        <v>672</v>
      </c>
      <c r="F14" s="307" t="str">
        <f>VLOOKUP($E14,'BDEW-Standard'!$B$3:$M$94,F$9,0)</f>
        <v>BH4</v>
      </c>
      <c r="H14" s="278">
        <f>ROUND(VLOOKUP($E14,'BDEW-Standard'!$B$3:$M$94,H$9,0),7)</f>
        <v>2.4595180999999999</v>
      </c>
      <c r="I14" s="278">
        <f>ROUND(VLOOKUP($E14,'BDEW-Standard'!$B$3:$M$94,I$9,0),7)</f>
        <v>-35.253212400000002</v>
      </c>
      <c r="J14" s="278">
        <f>ROUND(VLOOKUP($E14,'BDEW-Standard'!$B$3:$M$94,J$9,0),7)</f>
        <v>6.0587001000000003</v>
      </c>
      <c r="K14" s="278">
        <f>ROUND(VLOOKUP($E14,'BDEW-Standard'!$B$3:$M$94,K$9,0),7)</f>
        <v>0.16473699999999999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1.043802057143173</v>
      </c>
      <c r="R14" s="281">
        <f>ROUND(VLOOKUP(MID($E14,4,3),'Wochentag F(WT)'!$B$7:$J$22,R$9,0),4)</f>
        <v>0.97670000000000001</v>
      </c>
      <c r="S14" s="281">
        <f>ROUND(VLOOKUP(MID($E14,4,3),'Wochentag F(WT)'!$B$7:$J$22,S$9,0),4)</f>
        <v>1.0388999999999999</v>
      </c>
      <c r="T14" s="281">
        <f>ROUND(VLOOKUP(MID($E14,4,3),'Wochentag F(WT)'!$B$7:$J$22,T$9,0),4)</f>
        <v>1.0027999999999999</v>
      </c>
      <c r="U14" s="281">
        <f>ROUND(VLOOKUP(MID($E14,4,3),'Wochentag F(WT)'!$B$7:$J$22,U$9,0),4)</f>
        <v>1.0162</v>
      </c>
      <c r="V14" s="281">
        <f>ROUND(VLOOKUP(MID($E14,4,3),'Wochentag F(WT)'!$B$7:$J$22,V$9,0),4)</f>
        <v>1.0024</v>
      </c>
      <c r="W14" s="281">
        <f>ROUND(VLOOKUP(MID($E14,4,3),'Wochentag F(WT)'!$B$7:$J$22,W$9,0),4)</f>
        <v>1.0043</v>
      </c>
      <c r="X14" s="282">
        <f t="shared" si="2"/>
        <v>0.95870000000000122</v>
      </c>
      <c r="Y14" s="303"/>
      <c r="Z14" s="212"/>
    </row>
    <row r="15" spans="2:26" s="143" customFormat="1">
      <c r="B15" s="144">
        <v>4</v>
      </c>
      <c r="C15" s="145" t="str">
        <f t="shared" si="0"/>
        <v>Ilmenau</v>
      </c>
      <c r="D15" s="62" t="s">
        <v>247</v>
      </c>
      <c r="E15" s="165" t="s">
        <v>674</v>
      </c>
      <c r="F15" s="307" t="str">
        <f>VLOOKUP($E15,'BDEW-Standard'!$B$3:$M$94,F$9,0)</f>
        <v>MK4</v>
      </c>
      <c r="H15" s="278">
        <f>ROUND(VLOOKUP($E15,'BDEW-Standard'!$B$3:$M$94,H$9,0),7)</f>
        <v>3.1177248</v>
      </c>
      <c r="I15" s="278">
        <f>ROUND(VLOOKUP($E15,'BDEW-Standard'!$B$3:$M$94,I$9,0),7)</f>
        <v>-35.871506199999999</v>
      </c>
      <c r="J15" s="278">
        <f>ROUND(VLOOKUP($E15,'BDEW-Standard'!$B$3:$M$94,J$9,0),7)</f>
        <v>7.5186828999999999</v>
      </c>
      <c r="K15" s="278">
        <f>ROUND(VLOOKUP($E15,'BDEW-Standard'!$B$3:$M$94,K$9,0),7)</f>
        <v>3.4330100000000002E-2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0.9622064996731321</v>
      </c>
      <c r="R15" s="281">
        <f>ROUND(VLOOKUP(MID($E15,4,3),'Wochentag F(WT)'!$B$7:$J$22,R$9,0),4)</f>
        <v>1.0699000000000001</v>
      </c>
      <c r="S15" s="281">
        <f>ROUND(VLOOKUP(MID($E15,4,3),'Wochentag F(WT)'!$B$7:$J$22,S$9,0),4)</f>
        <v>1.0365</v>
      </c>
      <c r="T15" s="281">
        <f>ROUND(VLOOKUP(MID($E15,4,3),'Wochentag F(WT)'!$B$7:$J$22,T$9,0),4)</f>
        <v>0.99329999999999996</v>
      </c>
      <c r="U15" s="281">
        <f>ROUND(VLOOKUP(MID($E15,4,3),'Wochentag F(WT)'!$B$7:$J$22,U$9,0),4)</f>
        <v>0.99480000000000002</v>
      </c>
      <c r="V15" s="281">
        <f>ROUND(VLOOKUP(MID($E15,4,3),'Wochentag F(WT)'!$B$7:$J$22,V$9,0),4)</f>
        <v>1.0659000000000001</v>
      </c>
      <c r="W15" s="281">
        <f>ROUND(VLOOKUP(MID($E15,4,3),'Wochentag F(WT)'!$B$7:$J$22,W$9,0),4)</f>
        <v>0.93620000000000003</v>
      </c>
      <c r="X15" s="282">
        <f t="shared" si="2"/>
        <v>0.90339999999999954</v>
      </c>
      <c r="Y15" s="303"/>
      <c r="Z15" s="212"/>
    </row>
    <row r="16" spans="2:26" s="143" customFormat="1">
      <c r="B16" s="144">
        <v>5</v>
      </c>
      <c r="C16" s="145" t="str">
        <f t="shared" si="0"/>
        <v>Ilmenau</v>
      </c>
      <c r="D16" s="62" t="s">
        <v>247</v>
      </c>
      <c r="E16" s="165" t="s">
        <v>675</v>
      </c>
      <c r="F16" s="307" t="str">
        <f>VLOOKUP($E16,'BDEW-Standard'!$B$3:$M$94,F$9,0)</f>
        <v>HA4</v>
      </c>
      <c r="H16" s="278">
        <f>ROUND(VLOOKUP($E16,'BDEW-Standard'!$B$3:$M$94,H$9,0),7)</f>
        <v>4.0196902000000003</v>
      </c>
      <c r="I16" s="278">
        <f>ROUND(VLOOKUP($E16,'BDEW-Standard'!$B$3:$M$94,I$9,0),7)</f>
        <v>-37.828203700000003</v>
      </c>
      <c r="J16" s="278">
        <f>ROUND(VLOOKUP($E16,'BDEW-Standard'!$B$3:$M$94,J$9,0),7)</f>
        <v>8.1593368999999996</v>
      </c>
      <c r="K16" s="278">
        <f>ROUND(VLOOKUP($E16,'BDEW-Standard'!$B$3:$M$94,K$9,0),7)</f>
        <v>4.72845E-2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0.86486713303260787</v>
      </c>
      <c r="R16" s="281">
        <f>ROUND(VLOOKUP(MID($E16,4,3),'Wochentag F(WT)'!$B$7:$J$22,R$9,0),4)</f>
        <v>1.0358000000000001</v>
      </c>
      <c r="S16" s="281">
        <f>ROUND(VLOOKUP(MID($E16,4,3),'Wochentag F(WT)'!$B$7:$J$22,S$9,0),4)</f>
        <v>1.0232000000000001</v>
      </c>
      <c r="T16" s="281">
        <f>ROUND(VLOOKUP(MID($E16,4,3),'Wochentag F(WT)'!$B$7:$J$22,T$9,0),4)</f>
        <v>1.0251999999999999</v>
      </c>
      <c r="U16" s="281">
        <f>ROUND(VLOOKUP(MID($E16,4,3),'Wochentag F(WT)'!$B$7:$J$22,U$9,0),4)</f>
        <v>1.0295000000000001</v>
      </c>
      <c r="V16" s="281">
        <f>ROUND(VLOOKUP(MID($E16,4,3),'Wochentag F(WT)'!$B$7:$J$22,V$9,0),4)</f>
        <v>1.0253000000000001</v>
      </c>
      <c r="W16" s="281">
        <f>ROUND(VLOOKUP(MID($E16,4,3),'Wochentag F(WT)'!$B$7:$J$22,W$9,0),4)</f>
        <v>0.96750000000000003</v>
      </c>
      <c r="X16" s="282">
        <f t="shared" si="2"/>
        <v>0.89350000000000041</v>
      </c>
      <c r="Y16" s="303"/>
      <c r="Z16" s="212"/>
    </row>
    <row r="17" spans="2:26" s="143" customFormat="1">
      <c r="B17" s="144">
        <v>6</v>
      </c>
      <c r="C17" s="145" t="str">
        <f t="shared" si="0"/>
        <v>Ilmenau</v>
      </c>
      <c r="D17" s="62" t="s">
        <v>247</v>
      </c>
      <c r="E17" s="165" t="s">
        <v>676</v>
      </c>
      <c r="F17" s="307" t="str">
        <f>VLOOKUP($E17,'BDEW-Standard'!$B$3:$M$94,F$9,0)</f>
        <v>KO4</v>
      </c>
      <c r="H17" s="278">
        <f>ROUND(VLOOKUP($E17,'BDEW-Standard'!$B$3:$M$94,H$9,0),7)</f>
        <v>3.4428942999999999</v>
      </c>
      <c r="I17" s="278">
        <f>ROUND(VLOOKUP($E17,'BDEW-Standard'!$B$3:$M$94,I$9,0),7)</f>
        <v>-36.659050399999998</v>
      </c>
      <c r="J17" s="278">
        <f>ROUND(VLOOKUP($E17,'BDEW-Standard'!$B$3:$M$94,J$9,0),7)</f>
        <v>7.6083226000000002</v>
      </c>
      <c r="K17" s="278">
        <f>ROUND(VLOOKUP($E17,'BDEW-Standard'!$B$3:$M$94,K$9,0),7)</f>
        <v>7.4685000000000001E-2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0.97768382110526542</v>
      </c>
      <c r="R17" s="281">
        <f>ROUND(VLOOKUP(MID($E17,4,3),'Wochentag F(WT)'!$B$7:$J$22,R$9,0),4)</f>
        <v>1.0354000000000001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1.0448999999999999</v>
      </c>
      <c r="U17" s="281">
        <f>ROUND(VLOOKUP(MID($E17,4,3),'Wochentag F(WT)'!$B$7:$J$22,U$9,0),4)</f>
        <v>1.0494000000000001</v>
      </c>
      <c r="V17" s="281">
        <f>ROUND(VLOOKUP(MID($E17,4,3),'Wochentag F(WT)'!$B$7:$J$22,V$9,0),4)</f>
        <v>0.98850000000000005</v>
      </c>
      <c r="W17" s="281">
        <f>ROUND(VLOOKUP(MID($E17,4,3),'Wochentag F(WT)'!$B$7:$J$22,W$9,0),4)</f>
        <v>0.88600000000000001</v>
      </c>
      <c r="X17" s="282">
        <f t="shared" si="2"/>
        <v>0.94349999999999934</v>
      </c>
      <c r="Y17" s="303"/>
      <c r="Z17" s="212"/>
    </row>
    <row r="18" spans="2:26" s="143" customFormat="1">
      <c r="B18" s="144">
        <v>7</v>
      </c>
      <c r="C18" s="145" t="str">
        <f t="shared" si="0"/>
        <v>Ilmenau</v>
      </c>
      <c r="D18" s="62" t="s">
        <v>247</v>
      </c>
      <c r="E18" s="165" t="s">
        <v>677</v>
      </c>
      <c r="F18" s="307" t="str">
        <f>VLOOKUP($E18,'BDEW-Standard'!$B$3:$M$94,F$9,0)</f>
        <v>GB4</v>
      </c>
      <c r="H18" s="278">
        <f>ROUND(VLOOKUP($E18,'BDEW-Standard'!$B$3:$M$94,H$9,0),7)</f>
        <v>3.6017736</v>
      </c>
      <c r="I18" s="278">
        <f>ROUND(VLOOKUP($E18,'BDEW-Standard'!$B$3:$M$94,I$9,0),7)</f>
        <v>-37.882536799999997</v>
      </c>
      <c r="J18" s="278">
        <f>ROUND(VLOOKUP($E18,'BDEW-Standard'!$B$3:$M$94,J$9,0),7)</f>
        <v>6.9836070000000001</v>
      </c>
      <c r="K18" s="278">
        <f>ROUND(VLOOKUP($E18,'BDEW-Standard'!$B$3:$M$94,K$9,0),7)</f>
        <v>5.4826199999999999E-2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0.90239375975311864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Ilmenau</v>
      </c>
      <c r="D19" s="62" t="s">
        <v>247</v>
      </c>
      <c r="E19" s="165" t="s">
        <v>678</v>
      </c>
      <c r="F19" s="307" t="str">
        <f>VLOOKUP($E19,'BDEW-Standard'!$B$3:$M$94,F$9,0)</f>
        <v>GA4</v>
      </c>
      <c r="H19" s="278">
        <f>ROUND(VLOOKUP($E19,'BDEW-Standard'!$B$3:$M$94,H$9,0),7)</f>
        <v>2.8195655999999998</v>
      </c>
      <c r="I19" s="278">
        <f>ROUND(VLOOKUP($E19,'BDEW-Standard'!$B$3:$M$94,I$9,0),7)</f>
        <v>-36</v>
      </c>
      <c r="J19" s="278">
        <f>ROUND(VLOOKUP($E19,'BDEW-Standard'!$B$3:$M$94,J$9,0),7)</f>
        <v>7.7368518000000002</v>
      </c>
      <c r="K19" s="278">
        <f>ROUND(VLOOKUP($E19,'BDEW-Standard'!$B$3:$M$94,K$9,0),7)</f>
        <v>0.157281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0.96576337685759206</v>
      </c>
      <c r="R19" s="281">
        <f>ROUND(VLOOKUP(MID($E19,4,3),'Wochentag F(WT)'!$B$7:$J$22,R$9,0),4)</f>
        <v>0.93220000000000003</v>
      </c>
      <c r="S19" s="281">
        <f>ROUND(VLOOKUP(MID($E19,4,3),'Wochentag F(WT)'!$B$7:$J$22,S$9,0),4)</f>
        <v>0.98939999999999995</v>
      </c>
      <c r="T19" s="281">
        <f>ROUND(VLOOKUP(MID($E19,4,3),'Wochentag F(WT)'!$B$7:$J$22,T$9,0),4)</f>
        <v>1.0033000000000001</v>
      </c>
      <c r="U19" s="281">
        <f>ROUND(VLOOKUP(MID($E19,4,3),'Wochentag F(WT)'!$B$7:$J$22,U$9,0),4)</f>
        <v>1.0108999999999999</v>
      </c>
      <c r="V19" s="281">
        <f>ROUND(VLOOKUP(MID($E19,4,3),'Wochentag F(WT)'!$B$7:$J$22,V$9,0),4)</f>
        <v>1.018</v>
      </c>
      <c r="W19" s="281">
        <f>ROUND(VLOOKUP(MID($E19,4,3),'Wochentag F(WT)'!$B$7:$J$22,W$9,0),4)</f>
        <v>1.0356000000000001</v>
      </c>
      <c r="X19" s="282">
        <f t="shared" si="2"/>
        <v>1.0106000000000002</v>
      </c>
      <c r="Y19" s="303"/>
      <c r="Z19" s="212"/>
    </row>
    <row r="20" spans="2:26" s="143" customFormat="1">
      <c r="B20" s="144">
        <v>9</v>
      </c>
      <c r="C20" s="145" t="str">
        <f t="shared" si="0"/>
        <v>Ilmenau</v>
      </c>
      <c r="D20" s="62" t="s">
        <v>247</v>
      </c>
      <c r="E20" s="165" t="s">
        <v>679</v>
      </c>
      <c r="F20" s="307" t="str">
        <f>VLOOKUP($E20,'BDEW-Standard'!$B$3:$M$94,F$9,0)</f>
        <v>PD4</v>
      </c>
      <c r="H20" s="278">
        <f>ROUND(VLOOKUP($E20,'BDEW-Standard'!$B$3:$M$94,H$9,0),7)</f>
        <v>3.85</v>
      </c>
      <c r="I20" s="278">
        <f>ROUND(VLOOKUP($E20,'BDEW-Standard'!$B$3:$M$94,I$9,0),7)</f>
        <v>-37</v>
      </c>
      <c r="J20" s="278">
        <f>ROUND(VLOOKUP($E20,'BDEW-Standard'!$B$3:$M$94,J$9,0),7)</f>
        <v>10.2405021</v>
      </c>
      <c r="K20" s="278">
        <f>ROUND(VLOOKUP($E20,'BDEW-Standard'!$B$3:$M$94,K$9,0),7)</f>
        <v>4.6924300000000002E-2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0.75691065279879233</v>
      </c>
      <c r="R20" s="281">
        <f>ROUND(VLOOKUP(MID($E20,4,3),'Wochentag F(WT)'!$B$7:$J$22,R$9,0),4)</f>
        <v>1.0214000000000001</v>
      </c>
      <c r="S20" s="281">
        <f>ROUND(VLOOKUP(MID($E20,4,3),'Wochentag F(WT)'!$B$7:$J$22,S$9,0),4)</f>
        <v>1.0866</v>
      </c>
      <c r="T20" s="281">
        <f>ROUND(VLOOKUP(MID($E20,4,3),'Wochentag F(WT)'!$B$7:$J$22,T$9,0),4)</f>
        <v>1.0720000000000001</v>
      </c>
      <c r="U20" s="281">
        <f>ROUND(VLOOKUP(MID($E20,4,3),'Wochentag F(WT)'!$B$7:$J$22,U$9,0),4)</f>
        <v>1.0557000000000001</v>
      </c>
      <c r="V20" s="281">
        <f>ROUND(VLOOKUP(MID($E20,4,3),'Wochentag F(WT)'!$B$7:$J$22,V$9,0),4)</f>
        <v>1.0117</v>
      </c>
      <c r="W20" s="281">
        <f>ROUND(VLOOKUP(MID($E20,4,3),'Wochentag F(WT)'!$B$7:$J$22,W$9,0),4)</f>
        <v>0.90010000000000001</v>
      </c>
      <c r="X20" s="282">
        <f t="shared" si="2"/>
        <v>0.85249999999999915</v>
      </c>
      <c r="Y20" s="303"/>
      <c r="Z20" s="212"/>
    </row>
    <row r="21" spans="2:26" s="143" customFormat="1">
      <c r="B21" s="144">
        <v>10</v>
      </c>
      <c r="C21" s="145" t="str">
        <f t="shared" si="0"/>
        <v>Ilmenau</v>
      </c>
      <c r="D21" s="62" t="s">
        <v>247</v>
      </c>
      <c r="E21" s="165" t="s">
        <v>680</v>
      </c>
      <c r="F21" s="307" t="str">
        <f>VLOOKUP($E21,'BDEW-Standard'!$B$3:$M$94,F$9,0)</f>
        <v>WA4</v>
      </c>
      <c r="H21" s="278">
        <f>ROUND(VLOOKUP($E21,'BDEW-Standard'!$B$3:$M$94,H$9,0),7)</f>
        <v>1.0535874999999999</v>
      </c>
      <c r="I21" s="278">
        <f>ROUND(VLOOKUP($E21,'BDEW-Standard'!$B$3:$M$94,I$9,0),7)</f>
        <v>-35.299999999999997</v>
      </c>
      <c r="J21" s="278">
        <f>ROUND(VLOOKUP($E21,'BDEW-Standard'!$B$3:$M$94,J$9,0),7)</f>
        <v>4.8662747</v>
      </c>
      <c r="K21" s="278">
        <f>ROUND(VLOOKUP($E21,'BDEW-Standard'!$B$3:$M$94,K$9,0),7)</f>
        <v>0.68110420000000005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1.0844348950990992</v>
      </c>
      <c r="R21" s="281">
        <f>ROUND(VLOOKUP(MID($E21,4,3),'Wochentag F(WT)'!$B$7:$J$22,R$9,0),4)</f>
        <v>1.2457</v>
      </c>
      <c r="S21" s="281">
        <f>ROUND(VLOOKUP(MID($E21,4,3),'Wochentag F(WT)'!$B$7:$J$22,S$9,0),4)</f>
        <v>1.2615000000000001</v>
      </c>
      <c r="T21" s="281">
        <f>ROUND(VLOOKUP(MID($E21,4,3),'Wochentag F(WT)'!$B$7:$J$22,T$9,0),4)</f>
        <v>1.2706999999999999</v>
      </c>
      <c r="U21" s="281">
        <f>ROUND(VLOOKUP(MID($E21,4,3),'Wochentag F(WT)'!$B$7:$J$22,U$9,0),4)</f>
        <v>1.2430000000000001</v>
      </c>
      <c r="V21" s="281">
        <f>ROUND(VLOOKUP(MID($E21,4,3),'Wochentag F(WT)'!$B$7:$J$22,V$9,0),4)</f>
        <v>1.1275999999999999</v>
      </c>
      <c r="W21" s="281">
        <f>ROUND(VLOOKUP(MID($E21,4,3),'Wochentag F(WT)'!$B$7:$J$22,W$9,0),4)</f>
        <v>0.38769999999999999</v>
      </c>
      <c r="X21" s="282">
        <f t="shared" si="2"/>
        <v>0.46379999999999999</v>
      </c>
      <c r="Y21" s="303"/>
      <c r="Z21" s="212"/>
    </row>
    <row r="22" spans="2:26" s="143" customFormat="1">
      <c r="B22" s="144">
        <v>11</v>
      </c>
      <c r="C22" s="145" t="str">
        <f t="shared" si="0"/>
        <v>Ilmenau</v>
      </c>
      <c r="D22" s="62" t="s">
        <v>247</v>
      </c>
      <c r="E22" s="165" t="s">
        <v>681</v>
      </c>
      <c r="F22" s="307" t="str">
        <f>VLOOKUP($E22,'BDEW-Standard'!$B$3:$M$94,F$9,0)</f>
        <v>HD4</v>
      </c>
      <c r="H22" s="278">
        <f>ROUND(VLOOKUP($E22,'BDEW-Standard'!$B$3:$M$94,H$9,0),7)</f>
        <v>3.0084346000000002</v>
      </c>
      <c r="I22" s="278">
        <f>ROUND(VLOOKUP($E22,'BDEW-Standard'!$B$3:$M$94,I$9,0),7)</f>
        <v>-36.607845300000001</v>
      </c>
      <c r="J22" s="278">
        <f>ROUND(VLOOKUP($E22,'BDEW-Standard'!$B$3:$M$94,J$9,0),7)</f>
        <v>7.3211870000000001</v>
      </c>
      <c r="K22" s="278">
        <f>ROUND(VLOOKUP($E22,'BDEW-Standard'!$B$3:$M$94,K$9,0),7)</f>
        <v>0.15496599999999999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0.97302438504000599</v>
      </c>
      <c r="R22" s="281">
        <f>ROUND(VLOOKUP(MID($E22,4,3),'Wochentag F(WT)'!$B$7:$J$22,R$9,0),4)</f>
        <v>1.03</v>
      </c>
      <c r="S22" s="281">
        <f>ROUND(VLOOKUP(MID($E22,4,3),'Wochentag F(WT)'!$B$7:$J$22,S$9,0),4)</f>
        <v>1.03</v>
      </c>
      <c r="T22" s="281">
        <f>ROUND(VLOOKUP(MID($E22,4,3),'Wochentag F(WT)'!$B$7:$J$22,T$9,0),4)</f>
        <v>1.02</v>
      </c>
      <c r="U22" s="281">
        <f>ROUND(VLOOKUP(MID($E22,4,3),'Wochentag F(WT)'!$B$7:$J$22,U$9,0),4)</f>
        <v>1.03</v>
      </c>
      <c r="V22" s="281">
        <f>ROUND(VLOOKUP(MID($E22,4,3),'Wochentag F(WT)'!$B$7:$J$22,V$9,0),4)</f>
        <v>1.01</v>
      </c>
      <c r="W22" s="281">
        <f>ROUND(VLOOKUP(MID($E22,4,3),'Wochentag F(WT)'!$B$7:$J$22,W$9,0),4)</f>
        <v>0.93</v>
      </c>
      <c r="X22" s="282">
        <f t="shared" si="2"/>
        <v>0.95000000000000018</v>
      </c>
      <c r="Y22" s="303"/>
      <c r="Z22" s="212"/>
    </row>
    <row r="23" spans="2:26" s="143" customFormat="1">
      <c r="B23" s="144">
        <v>14</v>
      </c>
      <c r="C23" s="145" t="str">
        <f t="shared" si="0"/>
        <v>Ilmenau</v>
      </c>
      <c r="D23" s="62" t="s">
        <v>247</v>
      </c>
      <c r="E23" s="165" t="s">
        <v>58</v>
      </c>
      <c r="F23" s="307" t="s">
        <v>326</v>
      </c>
      <c r="H23" s="278">
        <v>3.159294</v>
      </c>
      <c r="I23" s="278">
        <v>-37.406886</v>
      </c>
      <c r="J23" s="278">
        <v>6.1418926000000003</v>
      </c>
      <c r="K23" s="278">
        <v>9.3729099999999996E-2</v>
      </c>
      <c r="L23" s="279">
        <v>40</v>
      </c>
      <c r="M23" s="278">
        <v>0</v>
      </c>
      <c r="N23" s="278">
        <v>0</v>
      </c>
      <c r="O23" s="278">
        <v>0</v>
      </c>
      <c r="P23" s="278">
        <v>0</v>
      </c>
      <c r="Q23" s="280">
        <f t="shared" si="1"/>
        <v>0.96918650224521152</v>
      </c>
      <c r="R23" s="281">
        <f>ROUND(VLOOKUP(MID($E23,4,3),'Wochentag F(WT)'!$B$7:$J$22,R$9,0),4)</f>
        <v>1</v>
      </c>
      <c r="S23" s="281">
        <f>ROUND(VLOOKUP(MID($E23,4,3),'Wochentag F(WT)'!$B$7:$J$22,S$9,0),4)</f>
        <v>1</v>
      </c>
      <c r="T23" s="281">
        <f>ROUND(VLOOKUP(MID($E23,4,3),'Wochentag F(WT)'!$B$7:$J$22,T$9,0),4)</f>
        <v>1</v>
      </c>
      <c r="U23" s="281">
        <f>ROUND(VLOOKUP(MID($E23,4,3),'Wochentag F(WT)'!$B$7:$J$22,U$9,0),4)</f>
        <v>1</v>
      </c>
      <c r="V23" s="281">
        <f>ROUND(VLOOKUP(MID($E23,4,3),'Wochentag F(WT)'!$B$7:$J$22,V$9,0),4)</f>
        <v>1</v>
      </c>
      <c r="W23" s="281">
        <f>ROUND(VLOOKUP(MID($E23,4,3),'Wochentag F(WT)'!$B$7:$J$22,W$9,0),4)</f>
        <v>1</v>
      </c>
      <c r="X23" s="282">
        <f t="shared" si="2"/>
        <v>1</v>
      </c>
      <c r="Y23" s="303"/>
      <c r="Z23" s="212"/>
    </row>
    <row r="24" spans="2:26" s="143" customFormat="1">
      <c r="B24" s="144">
        <v>15</v>
      </c>
      <c r="C24" s="145" t="str">
        <f t="shared" si="0"/>
        <v>Ilmenau</v>
      </c>
      <c r="D24" s="62" t="s">
        <v>247</v>
      </c>
      <c r="E24" s="165" t="s">
        <v>68</v>
      </c>
      <c r="F24" s="307" t="s">
        <v>336</v>
      </c>
      <c r="H24" s="278">
        <v>2.4859160999999999</v>
      </c>
      <c r="I24" s="278">
        <v>-35.043597800000001</v>
      </c>
      <c r="J24" s="278">
        <v>6.2818214000000001</v>
      </c>
      <c r="K24" s="278">
        <v>0.13042619999999999</v>
      </c>
      <c r="L24" s="279">
        <v>40</v>
      </c>
      <c r="M24" s="278">
        <v>0</v>
      </c>
      <c r="N24" s="278">
        <v>0</v>
      </c>
      <c r="O24" s="278">
        <v>0</v>
      </c>
      <c r="P24" s="278">
        <v>0</v>
      </c>
      <c r="Q24" s="280">
        <f t="shared" si="1"/>
        <v>1.0280018127680663</v>
      </c>
      <c r="R24" s="281">
        <f>ROUND(VLOOKUP(MID($E24,4,3),'Wochentag F(WT)'!$B$7:$J$22,R$9,0),4)</f>
        <v>1</v>
      </c>
      <c r="S24" s="281">
        <f>ROUND(VLOOKUP(MID($E24,4,3),'Wochentag F(WT)'!$B$7:$J$22,S$9,0),4)</f>
        <v>1</v>
      </c>
      <c r="T24" s="281">
        <f>ROUND(VLOOKUP(MID($E24,4,3),'Wochentag F(WT)'!$B$7:$J$22,T$9,0),4)</f>
        <v>1</v>
      </c>
      <c r="U24" s="281">
        <f>ROUND(VLOOKUP(MID($E24,4,3),'Wochentag F(WT)'!$B$7:$J$22,U$9,0),4)</f>
        <v>1</v>
      </c>
      <c r="V24" s="281">
        <f>ROUND(VLOOKUP(MID($E24,4,3),'Wochentag F(WT)'!$B$7:$J$22,V$9,0),4)</f>
        <v>1</v>
      </c>
      <c r="W24" s="281">
        <f>ROUND(VLOOKUP(MID($E24,4,3),'Wochentag F(WT)'!$B$7:$J$22,W$9,0),4)</f>
        <v>1</v>
      </c>
      <c r="X24" s="282">
        <f t="shared" si="2"/>
        <v>1</v>
      </c>
      <c r="Y24" s="303"/>
      <c r="Z24" s="212"/>
    </row>
    <row r="25" spans="2:26" s="143" customFormat="1">
      <c r="B25" s="144">
        <v>16</v>
      </c>
      <c r="C25" s="145" t="str">
        <f t="shared" si="0"/>
        <v>Ilmenau</v>
      </c>
      <c r="D25" s="62"/>
      <c r="E25" s="166"/>
      <c r="F25" s="307"/>
      <c r="H25" s="283"/>
      <c r="I25" s="283"/>
      <c r="J25" s="283"/>
      <c r="K25" s="283"/>
      <c r="L25" s="279"/>
      <c r="M25" s="283"/>
      <c r="N25" s="283"/>
      <c r="O25" s="283"/>
      <c r="P25" s="283"/>
      <c r="Q25" s="284"/>
      <c r="R25" s="285"/>
      <c r="S25" s="285"/>
      <c r="T25" s="285"/>
      <c r="U25" s="285"/>
      <c r="V25" s="285"/>
      <c r="W25" s="285"/>
      <c r="X25" s="286"/>
      <c r="Y25" s="303"/>
    </row>
    <row r="26" spans="2:26" s="143" customFormat="1">
      <c r="B26" s="144">
        <v>17</v>
      </c>
      <c r="C26" s="145" t="str">
        <f t="shared" si="0"/>
        <v>Ilmenau</v>
      </c>
      <c r="D26" s="62"/>
      <c r="E26" s="166"/>
      <c r="F26" s="307"/>
      <c r="H26" s="283"/>
      <c r="I26" s="283"/>
      <c r="J26" s="283"/>
      <c r="K26" s="283"/>
      <c r="L26" s="279"/>
      <c r="M26" s="283"/>
      <c r="N26" s="283"/>
      <c r="O26" s="283"/>
      <c r="P26" s="283"/>
      <c r="Q26" s="284"/>
      <c r="R26" s="285"/>
      <c r="S26" s="285"/>
      <c r="T26" s="285"/>
      <c r="U26" s="285"/>
      <c r="V26" s="285"/>
      <c r="W26" s="285"/>
      <c r="X26" s="286"/>
      <c r="Y26" s="303"/>
    </row>
    <row r="27" spans="2:26" s="143" customFormat="1">
      <c r="B27" s="144">
        <v>18</v>
      </c>
      <c r="C27" s="145" t="str">
        <f t="shared" si="0"/>
        <v>Ilmenau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19</v>
      </c>
      <c r="C28" s="145" t="str">
        <f t="shared" si="0"/>
        <v>Ilmenau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20</v>
      </c>
      <c r="C29" s="145" t="str">
        <f t="shared" si="0"/>
        <v>Ilmenau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21</v>
      </c>
      <c r="C30" s="145" t="str">
        <f t="shared" si="0"/>
        <v>Ilmenau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22</v>
      </c>
      <c r="C31" s="145" t="str">
        <f t="shared" si="0"/>
        <v>Ilmenau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23</v>
      </c>
      <c r="C32" s="145" t="str">
        <f t="shared" si="0"/>
        <v>Ilmenau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24</v>
      </c>
      <c r="C33" s="145" t="str">
        <f t="shared" si="0"/>
        <v>Ilmenau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25</v>
      </c>
      <c r="C34" s="145" t="str">
        <f t="shared" si="0"/>
        <v>Ilmenau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26</v>
      </c>
      <c r="C35" s="145" t="str">
        <f t="shared" si="0"/>
        <v>Ilmenau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27</v>
      </c>
      <c r="C36" s="145" t="str">
        <f t="shared" si="0"/>
        <v>Ilmenau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28</v>
      </c>
      <c r="C37" s="145" t="str">
        <f t="shared" si="0"/>
        <v>Ilmenau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29</v>
      </c>
      <c r="C38" s="145" t="str">
        <f t="shared" si="0"/>
        <v>Ilmenau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30</v>
      </c>
      <c r="C39" s="145" t="str">
        <f t="shared" si="0"/>
        <v>Ilmenau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/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 selectLockedCells="1" selectUnlockedCells="1"/>
  <conditionalFormatting sqref="F11:F39 H11:Y39">
    <cfRule type="expression" dxfId="11" priority="10">
      <formula>ISERROR(F11)</formula>
    </cfRule>
  </conditionalFormatting>
  <conditionalFormatting sqref="E12:F22 Y12:Y39 E25:F39 F23:F24">
    <cfRule type="duplicateValues" dxfId="1" priority="47"/>
  </conditionalFormatting>
  <conditionalFormatting sqref="E23:E24">
    <cfRule type="duplicateValues" dxfId="0" priority="1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39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D11:D39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 E23:E24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E11:E39</xm:sqref>
        </x14:dataValidation>
        <x14:dataValidation type="list" allowBlank="1" showInputMessage="1" showErrorMessage="1">
          <x14:formula1>
            <xm:f>'BDEW-Standard'!$B$3:$B$94</xm:f>
          </x14:formula1>
          <xm:sqref>E12:E22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348</v>
      </c>
      <c r="B1" s="216">
        <v>42173</v>
      </c>
      <c r="D1" s="131" t="s">
        <v>457</v>
      </c>
      <c r="F1" s="217" t="s">
        <v>550</v>
      </c>
      <c r="N1" s="218"/>
    </row>
    <row r="2" spans="1:14" ht="25.5">
      <c r="A2" s="219" t="s">
        <v>271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317</v>
      </c>
      <c r="D95" s="235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322</v>
      </c>
      <c r="D96" s="235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327</v>
      </c>
      <c r="D97" s="235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332</v>
      </c>
      <c r="D98" s="235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285</v>
      </c>
      <c r="D99" s="235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289</v>
      </c>
      <c r="D100" s="235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293</v>
      </c>
      <c r="D101" s="235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297</v>
      </c>
      <c r="D102" s="235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301</v>
      </c>
      <c r="D103" s="235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305</v>
      </c>
      <c r="D104" s="235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309</v>
      </c>
      <c r="D105" s="235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313</v>
      </c>
      <c r="D106" s="235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318</v>
      </c>
      <c r="D107" s="235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323</v>
      </c>
      <c r="D108" s="235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328</v>
      </c>
      <c r="D109" s="235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333</v>
      </c>
      <c r="D110" s="235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273</v>
      </c>
      <c r="D111" s="235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274</v>
      </c>
      <c r="D112" s="235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275</v>
      </c>
      <c r="D113" s="235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276</v>
      </c>
      <c r="D114" s="235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286</v>
      </c>
      <c r="D115" s="235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290</v>
      </c>
      <c r="D116" s="235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294</v>
      </c>
      <c r="D117" s="235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298</v>
      </c>
      <c r="D118" s="235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277</v>
      </c>
      <c r="D119" s="235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279</v>
      </c>
      <c r="D120" s="235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281</v>
      </c>
      <c r="D121" s="235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283</v>
      </c>
      <c r="D122" s="235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319</v>
      </c>
      <c r="D123" s="235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324</v>
      </c>
      <c r="D124" s="235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329</v>
      </c>
      <c r="D125" s="235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334</v>
      </c>
      <c r="D126" s="235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287</v>
      </c>
      <c r="D127" s="235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291</v>
      </c>
      <c r="D128" s="235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295</v>
      </c>
      <c r="D129" s="235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299</v>
      </c>
      <c r="D130" s="235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288</v>
      </c>
      <c r="D131" s="235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292</v>
      </c>
      <c r="D132" s="235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296</v>
      </c>
      <c r="D133" s="235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300</v>
      </c>
      <c r="D134" s="235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302</v>
      </c>
      <c r="D135" s="235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306</v>
      </c>
      <c r="D136" s="235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310</v>
      </c>
      <c r="D137" s="235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314</v>
      </c>
      <c r="D138" s="235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303</v>
      </c>
      <c r="D139" s="235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307</v>
      </c>
      <c r="D140" s="235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311</v>
      </c>
      <c r="D141" s="235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315</v>
      </c>
      <c r="D142" s="235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278</v>
      </c>
      <c r="D143" s="235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280</v>
      </c>
      <c r="D144" s="235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282</v>
      </c>
      <c r="D145" s="235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284</v>
      </c>
      <c r="D146" s="235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304</v>
      </c>
      <c r="D147" s="235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308</v>
      </c>
      <c r="D148" s="235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312</v>
      </c>
      <c r="D149" s="235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316</v>
      </c>
      <c r="D150" s="235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320</v>
      </c>
      <c r="D151" s="235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325</v>
      </c>
      <c r="D152" s="235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330</v>
      </c>
      <c r="D153" s="235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335</v>
      </c>
      <c r="D154" s="235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321</v>
      </c>
      <c r="D155" s="235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326</v>
      </c>
      <c r="D156" s="235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331</v>
      </c>
      <c r="D157" s="235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336</v>
      </c>
      <c r="D158" s="235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Ilmenau GmbH</v>
      </c>
      <c r="D4" s="76"/>
      <c r="G4" s="76"/>
      <c r="I4" s="76"/>
      <c r="J4" s="77"/>
      <c r="M4" s="86" t="s">
        <v>544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Netzbetreiber!D28</f>
        <v>Ilmenau</v>
      </c>
      <c r="D5" s="37"/>
      <c r="E5" s="76"/>
      <c r="F5" s="76"/>
      <c r="G5" s="76"/>
      <c r="I5" s="76"/>
      <c r="J5" s="76"/>
      <c r="K5" s="76"/>
      <c r="L5" s="76"/>
      <c r="M5" s="88" t="s">
        <v>513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 xml:space="preserve">700772 oder 9870077200003 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43678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3" t="s">
        <v>461</v>
      </c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5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8" t="s">
        <v>588</v>
      </c>
      <c r="C10" s="359"/>
      <c r="D10" s="94">
        <v>2</v>
      </c>
      <c r="E10" s="95" t="str">
        <f>IF(ISERROR(HLOOKUP(E$11,$M$9:$AD$35,$D10,0)),"",HLOOKUP(E$11,$M$9:$AD$35,$D10,0))</f>
        <v/>
      </c>
      <c r="F10" s="356" t="s">
        <v>399</v>
      </c>
      <c r="G10" s="356"/>
      <c r="H10" s="356"/>
      <c r="I10" s="356"/>
      <c r="J10" s="356"/>
      <c r="K10" s="356"/>
      <c r="L10" s="357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14">
        <f>MIN(SUMPRODUCT($M$11:$AD$11,M12:AD12),1)</f>
        <v>1</v>
      </c>
      <c r="F12" s="31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15">
        <f t="shared" si="0"/>
        <v>0</v>
      </c>
      <c r="F14" s="31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15">
        <f t="shared" si="0"/>
        <v>0</v>
      </c>
      <c r="F15" s="31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15">
        <f t="shared" si="0"/>
        <v>1</v>
      </c>
      <c r="F16" s="31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15">
        <f t="shared" si="0"/>
        <v>1</v>
      </c>
      <c r="F17" s="31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15">
        <f t="shared" si="0"/>
        <v>1</v>
      </c>
      <c r="F18" s="31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656</v>
      </c>
      <c r="C19" s="340"/>
      <c r="D19" s="111"/>
      <c r="E19" s="315">
        <v>1</v>
      </c>
      <c r="F19" s="31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405</v>
      </c>
      <c r="C20" s="117"/>
      <c r="D20" s="111">
        <v>11</v>
      </c>
      <c r="E20" s="315">
        <f t="shared" si="0"/>
        <v>1</v>
      </c>
      <c r="F20" s="312" t="s">
        <v>396</v>
      </c>
      <c r="G20" s="80" t="s">
        <v>396</v>
      </c>
      <c r="H20" s="80" t="s">
        <v>396</v>
      </c>
      <c r="I20" s="80" t="s">
        <v>396</v>
      </c>
      <c r="J20" s="80" t="s">
        <v>396</v>
      </c>
      <c r="K20" s="80" t="s">
        <v>396</v>
      </c>
      <c r="L20" s="81" t="s">
        <v>396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654</v>
      </c>
      <c r="C21" s="117"/>
      <c r="D21" s="111">
        <v>12</v>
      </c>
      <c r="E21" s="315">
        <f t="shared" si="0"/>
        <v>1</v>
      </c>
      <c r="F21" s="312" t="s">
        <v>403</v>
      </c>
      <c r="G21" s="80" t="s">
        <v>403</v>
      </c>
      <c r="H21" s="80" t="s">
        <v>403</v>
      </c>
      <c r="I21" s="80" t="s">
        <v>396</v>
      </c>
      <c r="J21" s="80" t="s">
        <v>403</v>
      </c>
      <c r="K21" s="80" t="s">
        <v>403</v>
      </c>
      <c r="L21" s="81" t="s">
        <v>403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13</v>
      </c>
      <c r="E22" s="315">
        <f t="shared" si="0"/>
        <v>1</v>
      </c>
      <c r="F22" s="312" t="s">
        <v>403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396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420</v>
      </c>
      <c r="C23" s="117"/>
      <c r="D23" s="111">
        <v>14</v>
      </c>
      <c r="E23" s="315">
        <f t="shared" si="0"/>
        <v>1</v>
      </c>
      <c r="F23" s="312" t="s">
        <v>396</v>
      </c>
      <c r="G23" s="80" t="s">
        <v>403</v>
      </c>
      <c r="H23" s="80" t="s">
        <v>403</v>
      </c>
      <c r="I23" s="80" t="s">
        <v>403</v>
      </c>
      <c r="J23" s="80" t="s">
        <v>403</v>
      </c>
      <c r="K23" s="80" t="s">
        <v>403</v>
      </c>
      <c r="L23" s="81" t="s">
        <v>403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421</v>
      </c>
      <c r="C24" s="117"/>
      <c r="D24" s="111">
        <v>15</v>
      </c>
      <c r="E24" s="315">
        <f t="shared" si="0"/>
        <v>0</v>
      </c>
      <c r="F24" s="312" t="s">
        <v>403</v>
      </c>
      <c r="G24" s="80" t="s">
        <v>403</v>
      </c>
      <c r="H24" s="80" t="s">
        <v>403</v>
      </c>
      <c r="I24" s="80" t="s">
        <v>396</v>
      </c>
      <c r="J24" s="80" t="s">
        <v>403</v>
      </c>
      <c r="K24" s="80" t="s">
        <v>403</v>
      </c>
      <c r="L24" s="81" t="s">
        <v>403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16</v>
      </c>
      <c r="E25" s="315">
        <f t="shared" si="0"/>
        <v>0</v>
      </c>
      <c r="F25" s="31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407</v>
      </c>
      <c r="C26" s="117"/>
      <c r="D26" s="111">
        <v>17</v>
      </c>
      <c r="E26" s="315">
        <f t="shared" si="0"/>
        <v>0</v>
      </c>
      <c r="F26" s="31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655</v>
      </c>
      <c r="C27" s="340"/>
      <c r="D27" s="111"/>
      <c r="E27" s="315">
        <v>1</v>
      </c>
      <c r="F27" s="31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408</v>
      </c>
      <c r="C28" s="117"/>
      <c r="D28" s="111">
        <v>18</v>
      </c>
      <c r="E28" s="315">
        <f t="shared" si="0"/>
        <v>1</v>
      </c>
      <c r="F28" s="31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409</v>
      </c>
      <c r="C29" s="340"/>
      <c r="D29" s="341">
        <v>19</v>
      </c>
      <c r="E29" s="342">
        <v>1</v>
      </c>
      <c r="F29" s="312" t="s">
        <v>396</v>
      </c>
      <c r="G29" s="312" t="s">
        <v>396</v>
      </c>
      <c r="H29" s="312" t="s">
        <v>396</v>
      </c>
      <c r="I29" s="312" t="s">
        <v>396</v>
      </c>
      <c r="J29" s="312" t="s">
        <v>396</v>
      </c>
      <c r="K29" s="312" t="s">
        <v>396</v>
      </c>
      <c r="L29" s="312" t="s">
        <v>396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410</v>
      </c>
      <c r="C30" s="117"/>
      <c r="D30" s="111">
        <v>20</v>
      </c>
      <c r="E30" s="315">
        <f t="shared" si="0"/>
        <v>0</v>
      </c>
      <c r="F30" s="312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396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411</v>
      </c>
      <c r="C31" s="117"/>
      <c r="D31" s="111">
        <v>21</v>
      </c>
      <c r="E31" s="315">
        <f t="shared" si="0"/>
        <v>0</v>
      </c>
      <c r="F31" s="312" t="s">
        <v>403</v>
      </c>
      <c r="G31" s="80" t="s">
        <v>403</v>
      </c>
      <c r="H31" s="80" t="s">
        <v>396</v>
      </c>
      <c r="I31" s="80" t="s">
        <v>403</v>
      </c>
      <c r="J31" s="80" t="s">
        <v>403</v>
      </c>
      <c r="K31" s="80" t="s">
        <v>403</v>
      </c>
      <c r="L31" s="81" t="s">
        <v>403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412</v>
      </c>
      <c r="C32" s="117"/>
      <c r="D32" s="111">
        <v>22</v>
      </c>
      <c r="E32" s="315">
        <f t="shared" si="0"/>
        <v>0</v>
      </c>
      <c r="F32" s="31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396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413</v>
      </c>
      <c r="C33" s="117"/>
      <c r="D33" s="111">
        <v>23</v>
      </c>
      <c r="E33" s="315">
        <f t="shared" si="0"/>
        <v>1</v>
      </c>
      <c r="F33" s="312" t="s">
        <v>396</v>
      </c>
      <c r="G33" s="80" t="s">
        <v>396</v>
      </c>
      <c r="H33" s="80" t="s">
        <v>396</v>
      </c>
      <c r="I33" s="80" t="s">
        <v>396</v>
      </c>
      <c r="J33" s="80" t="s">
        <v>396</v>
      </c>
      <c r="K33" s="80" t="s">
        <v>396</v>
      </c>
      <c r="L33" s="81" t="s">
        <v>396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414</v>
      </c>
      <c r="C34" s="117"/>
      <c r="D34" s="111">
        <v>24</v>
      </c>
      <c r="E34" s="315">
        <f t="shared" si="0"/>
        <v>1</v>
      </c>
      <c r="F34" s="312" t="s">
        <v>396</v>
      </c>
      <c r="G34" s="80" t="s">
        <v>396</v>
      </c>
      <c r="H34" s="80" t="s">
        <v>396</v>
      </c>
      <c r="I34" s="80" t="s">
        <v>396</v>
      </c>
      <c r="J34" s="80" t="s">
        <v>396</v>
      </c>
      <c r="K34" s="80" t="s">
        <v>396</v>
      </c>
      <c r="L34" s="81" t="s">
        <v>396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415</v>
      </c>
      <c r="C35" s="123"/>
      <c r="D35" s="124">
        <v>25</v>
      </c>
      <c r="E35" s="316">
        <f t="shared" si="0"/>
        <v>0</v>
      </c>
      <c r="F35" s="313" t="s">
        <v>395</v>
      </c>
      <c r="G35" s="82" t="s">
        <v>395</v>
      </c>
      <c r="H35" s="82" t="s">
        <v>395</v>
      </c>
      <c r="I35" s="82" t="s">
        <v>395</v>
      </c>
      <c r="J35" s="82" t="s">
        <v>395</v>
      </c>
      <c r="K35" s="82" t="s">
        <v>395</v>
      </c>
      <c r="L35" s="83" t="s">
        <v>396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7" priority="9">
      <formula>IF(E$11="NB",1,0)</formula>
    </cfRule>
  </conditionalFormatting>
  <conditionalFormatting sqref="F12:L35">
    <cfRule type="expression" dxfId="6" priority="6">
      <formula>IF($E12=1,1,0)</formula>
    </cfRule>
  </conditionalFormatting>
  <conditionalFormatting sqref="M12:AD35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458</v>
      </c>
      <c r="B1" s="128"/>
      <c r="D1" s="217" t="s">
        <v>550</v>
      </c>
    </row>
    <row r="2" spans="1:16">
      <c r="A2" s="237"/>
      <c r="B2" s="236" t="s">
        <v>459</v>
      </c>
    </row>
    <row r="3" spans="1:16" ht="20.100000000000001" customHeight="1">
      <c r="A3" s="360" t="s">
        <v>248</v>
      </c>
      <c r="B3" s="238" t="s">
        <v>85</v>
      </c>
      <c r="C3" s="239"/>
      <c r="D3" s="362" t="s">
        <v>460</v>
      </c>
      <c r="E3" s="363"/>
      <c r="F3" s="363"/>
      <c r="G3" s="363"/>
      <c r="H3" s="363"/>
      <c r="I3" s="363"/>
      <c r="J3" s="364"/>
      <c r="K3" s="240"/>
      <c r="L3" s="240"/>
      <c r="M3" s="240"/>
      <c r="N3" s="240"/>
      <c r="O3" s="241"/>
      <c r="P3" s="240"/>
    </row>
    <row r="4" spans="1:16" ht="20.100000000000001" customHeight="1">
      <c r="A4" s="361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Marion Hoffmann</cp:lastModifiedBy>
  <cp:lastPrinted>2015-03-20T22:59:10Z</cp:lastPrinted>
  <dcterms:created xsi:type="dcterms:W3CDTF">2015-01-15T05:25:41Z</dcterms:created>
  <dcterms:modified xsi:type="dcterms:W3CDTF">2020-12-01T10:17:09Z</dcterms:modified>
</cp:coreProperties>
</file>